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bhawkins\OneDrive - azz.com\Bradshaw Hawkins\Forms\"/>
    </mc:Choice>
  </mc:AlternateContent>
  <workbookProtection workbookPassword="E31B" lockStructure="1"/>
  <bookViews>
    <workbookView xWindow="0" yWindow="0" windowWidth="28800" windowHeight="1183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11" i="5" l="1"/>
  <c r="C11" i="5"/>
  <c r="B5" i="5"/>
  <c r="C5" i="5"/>
  <c r="B14" i="5"/>
  <c r="C14" i="5"/>
  <c r="B6" i="5"/>
  <c r="C6" i="5"/>
  <c r="B7" i="5"/>
  <c r="C7" i="5"/>
  <c r="B8" i="5"/>
  <c r="C8" i="5"/>
  <c r="B9" i="5"/>
  <c r="C9" i="5"/>
  <c r="B10" i="5"/>
  <c r="C10" i="5"/>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s="1"/>
  <c r="H10" i="6" s="1"/>
  <c r="A5" i="4"/>
  <c r="B60" i="6"/>
  <c r="G60" i="6"/>
  <c r="B59" i="6"/>
  <c r="G59" i="6" s="1"/>
  <c r="B58" i="6"/>
  <c r="G58" i="6" s="1"/>
  <c r="B56" i="6"/>
  <c r="G56" i="6" s="1"/>
  <c r="B55" i="6"/>
  <c r="G55" i="6" s="1"/>
  <c r="B54" i="6"/>
  <c r="G54" i="6" s="1"/>
  <c r="B53" i="6"/>
  <c r="G53" i="6" s="1"/>
  <c r="B50" i="6"/>
  <c r="G50" i="6" s="1"/>
  <c r="H14" i="6"/>
  <c r="H61" i="4"/>
  <c r="B86" i="4"/>
  <c r="B38" i="6" l="1"/>
  <c r="B43" i="6"/>
  <c r="B23" i="6"/>
  <c r="B48" i="6" s="1"/>
  <c r="B28" i="6"/>
  <c r="F23" i="6"/>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G23" i="6"/>
  <c r="H23" i="6" s="1"/>
  <c r="D23"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C4" i="6" s="1"/>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B33" i="6" l="1"/>
  <c r="C12" i="6"/>
  <c r="C13" i="6"/>
  <c r="C11" i="6"/>
  <c r="C10" i="6"/>
  <c r="C8" i="6"/>
  <c r="C7" i="6"/>
  <c r="C5"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18" i="5"/>
  <c r="B17" i="5"/>
  <c r="C16" i="5"/>
  <c r="C13" i="5"/>
  <c r="C22" i="5"/>
  <c r="C15" i="5"/>
  <c r="B104" i="5"/>
  <c r="B101" i="5"/>
  <c r="C89" i="5"/>
  <c r="B88" i="5"/>
  <c r="B85" i="5"/>
  <c r="B74" i="5"/>
  <c r="B69" i="5"/>
  <c r="C68" i="5"/>
  <c r="C66" i="5"/>
  <c r="C61" i="5"/>
  <c r="B60" i="5"/>
  <c r="C58" i="5"/>
  <c r="C54" i="5"/>
  <c r="C53" i="5"/>
  <c r="C50" i="5"/>
  <c r="C46" i="5"/>
  <c r="C45" i="5"/>
  <c r="B42" i="5"/>
  <c r="B38" i="5"/>
  <c r="C37" i="5"/>
  <c r="C35" i="5"/>
  <c r="C33" i="5"/>
  <c r="B31" i="5"/>
  <c r="C30" i="5"/>
  <c r="C23" i="5"/>
  <c r="B20" i="5"/>
  <c r="B18" i="5"/>
  <c r="B16" i="5"/>
  <c r="B13" i="5"/>
  <c r="C12"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B12"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C17" i="5"/>
  <c r="B15"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H25" i="6" s="1"/>
  <c r="C25" i="6" s="1"/>
  <c r="F25" i="6"/>
  <c r="B40" i="6"/>
  <c r="G40" i="6" s="1"/>
  <c r="F26" i="6"/>
  <c r="F41" i="6" s="1"/>
  <c r="B30" i="6"/>
  <c r="G30" i="6" s="1"/>
  <c r="B41" i="6"/>
  <c r="F63" i="6"/>
  <c r="F36" i="6"/>
  <c r="G21" i="6"/>
  <c r="H21" i="6" s="1"/>
  <c r="B26" i="6"/>
  <c r="G26" i="6" s="1"/>
  <c r="H26" i="6" s="1"/>
  <c r="C26" i="6" s="1"/>
  <c r="B36" i="6"/>
  <c r="B46" i="6"/>
  <c r="G46" i="6" s="1"/>
  <c r="G31" i="6"/>
  <c r="H22" i="6"/>
  <c r="D22" i="6" s="1"/>
  <c r="G47" i="6"/>
  <c r="G42" i="6"/>
  <c r="K65" i="6"/>
  <c r="C65" i="6" s="1"/>
  <c r="G27" i="6"/>
  <c r="G32" i="6"/>
  <c r="G43" i="6"/>
  <c r="G38" i="6"/>
  <c r="G35" i="6"/>
  <c r="G28" i="6"/>
  <c r="G33" i="6"/>
  <c r="G41"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H37" i="6" s="1"/>
  <c r="F64" i="6"/>
  <c r="F42" i="6"/>
  <c r="H42" i="6" s="1"/>
  <c r="C2" i="6"/>
  <c r="H61" i="6"/>
  <c r="D37" i="4"/>
  <c r="D43" i="4"/>
  <c r="D61" i="4"/>
  <c r="D55" i="4"/>
  <c r="D68" i="4"/>
  <c r="D31" i="4"/>
  <c r="D49" i="4"/>
  <c r="G36" i="6" s="1"/>
  <c r="H36" i="6" s="1"/>
  <c r="C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c r="H41" i="6" l="1"/>
  <c r="D25" i="6"/>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6" i="5"/>
  <c r="G6" i="5" s="1"/>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AB5"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G10" i="5" s="1"/>
  <c r="V11" i="5"/>
  <c r="G11" i="5" s="1"/>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V5" i="5"/>
  <c r="G5" i="5" s="1"/>
  <c r="AB13" i="5"/>
  <c r="V23" i="5"/>
  <c r="G23" i="5" s="1"/>
  <c r="V35" i="5"/>
  <c r="V45" i="5"/>
  <c r="G45" i="5" s="1"/>
  <c r="V54" i="5"/>
  <c r="G54" i="5" s="1"/>
  <c r="V66" i="5"/>
  <c r="G66" i="5" s="1"/>
  <c r="AB85" i="5"/>
  <c r="AB104" i="5"/>
  <c r="AB6"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C62" i="6" s="1"/>
  <c r="F45" i="6"/>
  <c r="H45" i="6" s="1"/>
  <c r="F62" i="6"/>
  <c r="B2" i="6" s="1"/>
  <c r="F40" i="6"/>
  <c r="F35" i="6"/>
  <c r="H35" i="6" s="1"/>
  <c r="F30" i="6"/>
  <c r="H30" i="6" s="1"/>
  <c r="H40" i="6"/>
  <c r="D40" i="6" s="1"/>
  <c r="H31" i="6"/>
  <c r="D31" i="6" s="1"/>
  <c r="F46" i="6"/>
  <c r="H46" i="6" s="1"/>
  <c r="F31" i="6"/>
  <c r="C20" i="6"/>
  <c r="D21" i="6"/>
  <c r="C21" i="6"/>
  <c r="K63" i="6"/>
  <c r="C63" i="6" s="1"/>
  <c r="D26" i="6"/>
  <c r="H32" i="6"/>
  <c r="C32" i="6" s="1"/>
  <c r="C22" i="6"/>
  <c r="C41" i="6"/>
  <c r="D41" i="6"/>
  <c r="F38" i="6"/>
  <c r="H38" i="6" s="1"/>
  <c r="F43" i="6"/>
  <c r="H43" i="6" s="1"/>
  <c r="H28" i="6"/>
  <c r="F65" i="6"/>
  <c r="F33" i="6"/>
  <c r="H33" i="6" s="1"/>
  <c r="F48" i="6"/>
  <c r="H48" i="6" s="1"/>
  <c r="D36" i="6"/>
  <c r="F66" i="6"/>
  <c r="C66" i="6" s="1"/>
  <c r="C42" i="6"/>
  <c r="D42" i="6"/>
  <c r="D3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35" i="6" l="1"/>
  <c r="C35" i="6"/>
  <c r="G57" i="5"/>
  <c r="I57" i="5"/>
  <c r="E57" i="5"/>
  <c r="I541" i="5"/>
  <c r="G541" i="5"/>
  <c r="E541" i="5"/>
  <c r="H541" i="5"/>
  <c r="J57" i="5"/>
  <c r="R541" i="5"/>
  <c r="F57" i="5"/>
  <c r="H57" i="5"/>
  <c r="G73" i="5"/>
  <c r="F468" i="5"/>
  <c r="J541" i="5"/>
  <c r="F73" i="5"/>
  <c r="H73" i="5"/>
  <c r="J73" i="5"/>
  <c r="I73" i="5"/>
  <c r="J33" i="5"/>
  <c r="R33" i="5"/>
  <c r="I17" i="5"/>
  <c r="R17" i="5"/>
  <c r="H17" i="5"/>
  <c r="F33" i="5"/>
  <c r="I33" i="5"/>
  <c r="E33" i="5"/>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X541"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X33"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E5" i="5"/>
  <c r="R5" i="5"/>
  <c r="I5" i="5"/>
  <c r="J5" i="5"/>
  <c r="H5" i="5"/>
  <c r="F5"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I11" i="5"/>
  <c r="R11" i="5"/>
  <c r="E11" i="5"/>
  <c r="J11" i="5"/>
  <c r="H11" i="5"/>
  <c r="F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H6" i="5"/>
  <c r="I6" i="5"/>
  <c r="R6" i="5"/>
  <c r="F6" i="5"/>
  <c r="J6" i="5"/>
  <c r="E6" i="5"/>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H64" i="6" s="1"/>
  <c r="D64" i="6" s="1"/>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17" i="5"/>
  <c r="T468" i="5"/>
  <c r="S17"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4"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15"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13" i="5"/>
  <c r="T64" i="5"/>
  <c r="T28" i="5"/>
  <c r="T580" i="5"/>
  <c r="T416" i="5"/>
  <c r="T461" i="5"/>
  <c r="T456" i="5"/>
  <c r="T465" i="5"/>
  <c r="T425" i="5"/>
  <c r="T218" i="5"/>
  <c r="T156" i="5"/>
  <c r="T92" i="5"/>
  <c r="T490" i="5"/>
  <c r="T383" i="5"/>
  <c r="T212" i="5"/>
  <c r="T110" i="5"/>
  <c r="T70" i="5"/>
  <c r="T21" i="5"/>
  <c r="T75" i="5"/>
  <c r="T12" i="5"/>
  <c r="T115" i="5"/>
  <c r="T98" i="5"/>
  <c r="T81" i="5"/>
  <c r="T569" i="5"/>
  <c r="T379" i="5"/>
  <c r="T391" i="5"/>
  <c r="T505" i="5"/>
  <c r="T274" i="5"/>
  <c r="T196" i="5"/>
  <c r="T172" i="5"/>
  <c r="T108" i="5"/>
  <c r="T20" i="5"/>
  <c r="T27" i="5"/>
  <c r="T18"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6"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T11" i="5"/>
  <c r="T7" i="5"/>
  <c r="T9" i="5"/>
  <c r="T8" i="5"/>
  <c r="T10" i="5"/>
  <c r="T6" i="5"/>
  <c r="T5" i="5"/>
  <c r="X57" i="5" l="1"/>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15"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18" i="5"/>
  <c r="S274" i="5"/>
  <c r="S505" i="5"/>
  <c r="S509" i="5"/>
  <c r="S115" i="5"/>
  <c r="S67" i="5"/>
  <c r="S12"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3"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16"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4"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 r="S10" i="5"/>
  <c r="S9" i="5"/>
  <c r="S7" i="5"/>
  <c r="S8" i="5"/>
  <c r="S11" i="5"/>
  <c r="S6" i="5"/>
  <c r="S5" i="5"/>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<sst xmlns="http://schemas.openxmlformats.org/spreadsheetml/2006/main" count="21611" uniqueCount="15506">
  <si>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</si>
  <si>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</si>
  <si>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</si>
  <si>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</si>
  <si>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</si>
  <si>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</si>
  <si>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</si>
  <si>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</si>
  <si>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</si>
  <si>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</si>
  <si>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</si>
  <si>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</si>
  <si>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</si>
  <si>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</si>
  <si>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</si>
  <si>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</si>
  <si>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</si>
  <si>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</si>
  <si>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</si>
  <si>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</si>
  <si>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</si>
  <si>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</si>
  <si>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</si>
  <si>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</si>
  <si>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</si>
  <si>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</si>
  <si>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</si>
  <si>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</si>
  <si>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</si>
  <si>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</si>
  <si>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</si>
  <si>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</si>
  <si>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</si>
  <si>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</si>
  <si>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</si>
  <si>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</si>
  <si>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</si>
  <si>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</si>
  <si>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</si>
  <si>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</si>
  <si>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</si>
  <si>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</si>
  <si>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</si>
  <si>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</si>
  <si>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</si>
  <si>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</si>
  <si>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</si>
  <si>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</si>
  <si>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</si>
  <si>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</si>
  <si>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</si>
  <si>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</si>
  <si>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</si>
  <si>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</si>
  <si>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</si>
  <si>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</si>
  <si>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</si>
  <si>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</si>
  <si>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</si>
  <si>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</si>
  <si>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</si>
  <si>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</si>
  <si>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</si>
  <si>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</si>
  <si>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</si>
  <si>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</si>
  <si>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</si>
  <si>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</si>
  <si>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</si>
  <si>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</si>
  <si>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</si>
  <si>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</si>
  <si>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</si>
  <si>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</si>
  <si>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</si>
  <si>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</si>
  <si>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</si>
  <si>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</si>
  <si>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</si>
  <si>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</si>
  <si>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</si>
  <si>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</si>
  <si>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</si>
  <si>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</si>
  <si>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</si>
  <si>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</si>
  <si>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</si>
  <si>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</si>
  <si>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</si>
  <si>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</si>
  <si>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</si>
  <si>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</si>
  <si>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</si>
  <si>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</si>
  <si>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</si>
  <si>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</si>
  <si>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</si>
  <si>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</si>
  <si>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</si>
  <si>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</si>
  <si>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</si>
  <si>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</si>
  <si>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</si>
  <si>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</si>
  <si>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</si>
  <si>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</si>
  <si>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</si>
  <si>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</si>
  <si>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</si>
  <si>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</si>
  <si>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</si>
  <si>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</si>
  <si>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</si>
  <si>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</si>
  <si>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</si>
  <si>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</si>
  <si>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</si>
  <si>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</si>
  <si>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</si>
  <si>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</si>
  <si>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</si>
  <si>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</si>
  <si>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</si>
  <si>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</si>
  <si>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</si>
  <si>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</si>
  <si>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</si>
  <si>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</si>
  <si>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</si>
  <si>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</si>
  <si>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</si>
  <si>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</si>
  <si>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</si>
  <si>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</si>
  <si>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</si>
  <si>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</si>
  <si>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</si>
  <si>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</si>
  <si>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</si>
  <si>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</si>
  <si>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</si>
  <si>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</si>
  <si>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</si>
  <si>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</si>
  <si>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</si>
  <si>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</si>
  <si>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</si>
  <si>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</si>
  <si>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</si>
  <si>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</si>
  <si>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</si>
  <si>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</si>
  <si>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</si>
  <si>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</si>
  <si>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</si>
  <si>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</si>
  <si>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</si>
  <si>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</si>
  <si>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</si>
  <si>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</si>
  <si>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</si>
  <si>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</si>
  <si>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</si>
  <si>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</si>
  <si>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</si>
  <si>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</si>
  <si>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</si>
  <si>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</si>
  <si>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</si>
  <si>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</si>
  <si>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</si>
  <si>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</si>
  <si>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</si>
  <si>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</si>
  <si>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</si>
  <si>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</si>
  <si>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</si>
  <si>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</si>
  <si>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</si>
  <si>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</si>
  <si>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</si>
  <si>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</si>
  <si>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</si>
  <si>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</si>
  <si>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</si>
  <si>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</si>
  <si>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</si>
  <si>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</si>
  <si>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</si>
  <si>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</si>
  <si>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</si>
  <si>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</si>
  <si>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</si>
  <si>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</si>
  <si>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</si>
  <si>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</si>
  <si>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</si>
  <si>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</si>
  <si>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</si>
  <si>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</si>
  <si>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</si>
  <si>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</si>
  <si>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</si>
  <si>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</si>
  <si>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</si>
  <si>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</si>
  <si>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</si>
  <si>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</si>
  <si>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</si>
  <si>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</si>
  <si>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</si>
  <si>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</si>
  <si>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</si>
  <si>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</si>
  <si>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</si>
  <si>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</si>
  <si>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</si>
  <si>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</si>
  <si>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</si>
  <si>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</si>
  <si>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</si>
  <si>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</si>
  <si>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</si>
  <si>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</si>
  <si>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</si>
  <si>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</si>
  <si>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</si>
  <si>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</si>
  <si>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</si>
  <si>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</si>
  <si>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</si>
  <si>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</si>
  <si>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</si>
  <si>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</si>
  <si>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</si>
  <si>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</si>
  <si>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</si>
  <si>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</si>
  <si>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</si>
  <si>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</si>
  <si>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</si>
  <si>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</si>
  <si>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</si>
  <si>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</si>
  <si>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</si>
  <si>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</si>
  <si>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</si>
  <si>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</si>
  <si>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</si>
  <si>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</si>
  <si>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</si>
  <si>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</si>
  <si>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</si>
  <si>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</si>
  <si>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</si>
  <si>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</si>
  <si>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</si>
  <si>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</si>
  <si>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</si>
  <si>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</si>
  <si>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</si>
  <si>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</si>
  <si>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</si>
  <si>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</si>
  <si>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</si>
  <si>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</si>
  <si>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</si>
  <si>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</si>
  <si>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</si>
  <si>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</si>
  <si>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</si>
  <si>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</si>
  <si>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</si>
  <si>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</si>
  <si>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</si>
  <si>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</si>
  <si>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</si>
  <si>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</si>
  <si>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</si>
  <si>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</si>
  <si>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</si>
  <si>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</si>
  <si>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</si>
  <si>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</si>
  <si>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</si>
  <si>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</si>
  <si>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</si>
  <si>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</si>
  <si>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</si>
  <si>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</si>
  <si>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</si>
  <si>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</si>
  <si>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</si>
  <si>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</si>
  <si>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</si>
  <si>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</si>
  <si>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</si>
  <si>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</si>
  <si>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</si>
  <si>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</si>
  <si>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</si>
  <si>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</si>
  <si>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</si>
  <si>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</si>
  <si>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</si>
  <si>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</si>
  <si>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</si>
  <si>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</si>
  <si>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</si>
  <si>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</si>
  <si>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</si>
  <si>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</si>
  <si>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</si>
  <si>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</si>
  <si>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</si>
  <si>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</si>
  <si>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</si>
  <si>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</si>
  <si>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</si>
  <si>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</si>
  <si>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</si>
  <si>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</si>
  <si>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</si>
  <si>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</si>
  <si>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</si>
  <si>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</si>
  <si>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</si>
  <si>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</si>
  <si>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</si>
  <si>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</si>
  <si>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</si>
  <si>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</si>
  <si>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</si>
  <si>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</si>
  <si>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</si>
  <si>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</si>
  <si>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</si>
  <si>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</si>
  <si>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</si>
  <si>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</si>
  <si>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</si>
  <si>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</si>
  <si>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</si>
  <si>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</si>
  <si>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</si>
  <si>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</si>
  <si>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</si>
  <si>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</si>
  <si>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</si>
  <si>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</si>
  <si>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</si>
  <si>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</si>
  <si>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</si>
  <si>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</si>
  <si>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</si>
  <si>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</si>
  <si>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</si>
  <si>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</si>
  <si>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</si>
  <si>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</si>
  <si>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</si>
  <si>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</si>
  <si>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</si>
  <si>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</si>
  <si>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</si>
  <si>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</si>
  <si>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</si>
  <si>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</si>
  <si>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</si>
  <si>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</si>
  <si>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</si>
  <si>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</si>
  <si>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</si>
  <si>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</si>
  <si>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</si>
  <si>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</si>
  <si>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</si>
  <si>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</si>
  <si>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</si>
  <si>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</si>
  <si>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</si>
  <si>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</si>
  <si>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</si>
  <si>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</si>
  <si>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</si>
  <si>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</si>
  <si>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</si>
  <si>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</si>
  <si>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</si>
  <si>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</si>
  <si>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</si>
  <si>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</si>
  <si>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</si>
  <si>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</si>
  <si>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</si>
  <si>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</si>
  <si>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</si>
  <si>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</si>
  <si>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</si>
  <si>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</si>
  <si>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</si>
  <si>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</si>
  <si>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</si>
  <si>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</si>
  <si>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</si>
  <si>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</si>
  <si>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</si>
  <si>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</si>
  <si>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</si>
  <si>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</si>
  <si>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</si>
  <si>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</si>
  <si>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</si>
  <si>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</si>
  <si>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</si>
  <si>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</si>
  <si>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</si>
  <si>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</si>
  <si>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</si>
  <si>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</si>
  <si>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</si>
  <si>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</si>
  <si>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</si>
  <si>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</si>
  <si>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</si>
  <si>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</si>
  <si>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</si>
  <si>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</si>
  <si>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</si>
  <si>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</si>
  <si>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</si>
  <si>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</si>
  <si>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</si>
  <si>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</si>
  <si>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</si>
  <si>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</si>
  <si>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</si>
  <si>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</si>
  <si>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</si>
  <si>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</si>
  <si>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</si>
  <si>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</si>
  <si>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</si>
  <si>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</si>
  <si>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</si>
  <si>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</si>
  <si>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</si>
  <si>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</si>
  <si>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</si>
  <si>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</si>
  <si>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</si>
  <si>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</si>
  <si>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</si>
  <si>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</si>
  <si>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</si>
  <si>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</si>
  <si>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</si>
  <si>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</si>
  <si>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</si>
  <si>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</si>
  <si>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</si>
  <si>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</si>
  <si>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</si>
  <si>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</si>
  <si>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</si>
  <si>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</si>
  <si>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</si>
  <si>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</si>
  <si>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</si>
  <si>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</si>
  <si>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</si>
  <si>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</si>
  <si>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</si>
  <si>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</si>
  <si>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</si>
  <si>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</si>
  <si>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</si>
  <si>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</si>
  <si>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</si>
  <si>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</si>
  <si>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</si>
  <si>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</si>
  <si>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</si>
  <si>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</si>
  <si>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</si>
  <si>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</si>
  <si>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</si>
  <si>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</si>
  <si>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</si>
  <si>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</si>
  <si>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</si>
  <si>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</si>
  <si>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</si>
  <si>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</si>
  <si>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</si>
  <si>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</si>
  <si>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</si>
  <si>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</si>
  <si>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</si>
  <si>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</si>
  <si>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</si>
  <si>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</si>
  <si>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</si>
  <si>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</si>
  <si>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</si>
  <si>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</si>
  <si>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</si>
  <si>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</si>
  <si>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</si>
  <si>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</si>
  <si>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</si>
  <si>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</si>
  <si>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</si>
  <si>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</si>
  <si>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</si>
  <si>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</si>
  <si>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</si>
  <si>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</si>
  <si>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</si>
  <si>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</si>
  <si>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</si>
  <si>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</si>
  <si>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</si>
  <si>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</si>
  <si>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</si>
  <si>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</si>
  <si>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</si>
  <si>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</si>
  <si>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</si>
  <si>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</si>
  <si>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</si>
  <si>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</si>
  <si>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</si>
  <si>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</si>
  <si>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</si>
  <si>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</si>
  <si>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</si>
  <si>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</si>
  <si>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</si>
  <si>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</si>
  <si>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</si>
  <si>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</si>
  <si>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</si>
  <si>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</si>
  <si>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</si>
  <si>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</si>
  <si>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</si>
  <si>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</si>
  <si>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</si>
  <si>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</si>
  <si>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</si>
  <si>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</si>
  <si>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</si>
  <si>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</si>
  <si>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</si>
  <si>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</si>
  <si>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</si>
  <si>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</si>
  <si>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</si>
  <si>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</si>
  <si>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</si>
  <si>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</si>
  <si>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</si>
  <si>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</si>
  <si>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</si>
  <si>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</si>
  <si>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</si>
  <si>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</si>
  <si>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</si>
  <si>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</si>
  <si>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</si>
  <si>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</si>
  <si>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</si>
  <si>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</si>
  <si>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</si>
  <si>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</si>
  <si>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</si>
  <si>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</si>
  <si>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</si>
  <si>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</si>
  <si>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</si>
  <si>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</si>
  <si>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</si>
  <si>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</si>
  <si>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</si>
  <si>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</si>
  <si>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</si>
  <si>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</si>
  <si>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</si>
  <si>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</si>
  <si>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</si>
  <si>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</si>
  <si>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</si>
  <si>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</si>
  <si>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</si>
  <si>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</si>
  <si>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</si>
  <si>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</si>
  <si>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</si>
  <si>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</si>
  <si>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</si>
  <si>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</si>
  <si>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</si>
  <si>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</si>
  <si>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</si>
  <si>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</si>
  <si>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</si>
  <si>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</si>
  <si>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</si>
  <si>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</si>
  <si>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</si>
  <si>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</si>
  <si>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</si>
  <si>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</si>
  <si>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</si>
  <si>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</si>
  <si>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</si>
  <si>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</si>
  <si>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</si>
  <si>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</si>
  <si>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</si>
  <si>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</si>
  <si>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</si>
  <si>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</si>
  <si>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</si>
  <si>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</si>
  <si>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</si>
  <si>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</si>
  <si>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</si>
  <si>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</si>
  <si>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</si>
  <si>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</si>
  <si>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</si>
  <si>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</si>
  <si>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</si>
  <si>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</si>
  <si>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</si>
  <si>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</si>
  <si>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</si>
  <si>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</si>
  <si>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</si>
  <si>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</si>
  <si>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</si>
  <si>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</si>
  <si>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</si>
  <si>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</si>
  <si>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</si>
  <si>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</si>
  <si>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</si>
  <si>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</si>
  <si>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</si>
  <si>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</si>
  <si>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</si>
  <si>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</si>
  <si>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</si>
  <si>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</si>
  <si>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</si>
  <si>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</si>
  <si>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</si>
  <si>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</si>
  <si>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</si>
  <si>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</si>
  <si>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</si>
  <si>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</si>
  <si>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</si>
  <si>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</si>
  <si>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</si>
  <si>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</si>
  <si>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</si>
  <si>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</si>
  <si>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</si>
  <si>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</si>
  <si>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</si>
  <si>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</si>
  <si>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</si>
  <si>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</si>
  <si>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</si>
  <si>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</si>
  <si>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</si>
  <si>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</si>
  <si>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</si>
  <si>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</si>
  <si>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</si>
  <si>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</si>
  <si>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</si>
  <si>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</si>
  <si>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</si>
  <si>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</si>
  <si>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</si>
  <si>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</si>
  <si>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</si>
  <si>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</si>
  <si>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</si>
  <si>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</si>
  <si>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</si>
  <si>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</si>
  <si>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</si>
  <si>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</si>
  <si>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</si>
  <si>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</si>
  <si>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</si>
  <si>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</si>
  <si>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</si>
  <si>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</si>
  <si>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</si>
  <si>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</si>
  <si>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</si>
  <si>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</si>
  <si>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</si>
  <si>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</si>
  <si>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</si>
  <si>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</si>
  <si>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</si>
  <si>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</si>
  <si>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</si>
  <si>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</si>
  <si>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</si>
  <si>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</si>
  <si>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</si>
  <si>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</si>
  <si>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</si>
  <si>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</si>
  <si>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</si>
  <si>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</si>
  <si>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</si>
  <si>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</si>
  <si>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</si>
  <si>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</si>
  <si>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</si>
  <si>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</si>
  <si>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</si>
  <si>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</si>
  <si>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</si>
  <si>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</si>
  <si>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</si>
  <si>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</si>
  <si>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</si>
  <si>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</si>
  <si>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</si>
  <si>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</si>
  <si>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</si>
  <si>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</si>
  <si>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</si>
  <si>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</si>
  <si>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</si>
  <si>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</si>
  <si>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</si>
  <si>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</si>
  <si>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</si>
  <si>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</si>
  <si>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</si>
  <si>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</si>
  <si>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</si>
  <si>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</si>
  <si>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</si>
  <si>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</si>
  <si>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</si>
  <si>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</si>
  <si>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</si>
  <si>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</si>
  <si>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</si>
  <si>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</si>
  <si>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</si>
  <si>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</si>
  <si>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</si>
  <si>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</si>
  <si>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</si>
  <si>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</si>
  <si>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</si>
  <si>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</si>
  <si>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</si>
  <si>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</si>
  <si>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</si>
  <si>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</si>
  <si>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</si>
  <si>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</si>
  <si>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</si>
  <si>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</si>
  <si>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</si>
  <si>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</si>
  <si>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</si>
  <si>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</si>
  <si>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</si>
  <si>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</si>
  <si>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</si>
  <si>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</si>
  <si>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</si>
  <si>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</si>
  <si>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</si>
  <si>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</si>
  <si>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</si>
  <si>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</si>
  <si>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</si>
  <si>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</si>
  <si>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</si>
  <si>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</si>
  <si>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</si>
  <si>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</si>
  <si>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</si>
  <si>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</si>
  <si>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</si>
  <si>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</si>
  <si>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</si>
  <si>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</si>
  <si>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</si>
  <si>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</si>
  <si>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</si>
  <si>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</si>
  <si>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</si>
  <si>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</si>
  <si>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</si>
  <si>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</si>
  <si>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</si>
  <si>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</si>
  <si>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</si>
  <si>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</si>
  <si>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</si>
  <si>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</si>
  <si>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</si>
  <si>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</si>
  <si>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</si>
  <si>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</si>
  <si>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</si>
  <si>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</si>
  <si>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</si>
  <si>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</si>
  <si>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</si>
  <si>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</si>
  <si>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</si>
  <si>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</si>
  <si>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</si>
  <si>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</si>
  <si>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</si>
  <si>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</si>
  <si>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</si>
  <si>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</si>
  <si>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</si>
  <si>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</si>
  <si>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</si>
  <si>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</si>
  <si>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</si>
  <si>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</si>
  <si>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</si>
  <si>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</si>
  <si>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</si>
  <si>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</si>
  <si>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</si>
  <si>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</si>
  <si>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</si>
  <si>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</si>
  <si>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</si>
  <si>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</si>
  <si>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</si>
  <si>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</si>
  <si>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</si>
  <si>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</si>
  <si>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</si>
  <si>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</si>
  <si>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</si>
  <si>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</si>
  <si>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</si>
  <si>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</si>
  <si>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</si>
  <si>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</si>
  <si>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</si>
  <si>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</si>
  <si>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</si>
  <si>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</si>
  <si>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</si>
  <si>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</si>
  <si>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</si>
  <si>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</si>
  <si>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</si>
  <si>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</si>
  <si>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</si>
  <si>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</si>
  <si>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</si>
  <si>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</si>
  <si>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</si>
  <si>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</si>
  <si>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</si>
  <si>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</si>
  <si>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</si>
  <si>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</si>
  <si>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</si>
  <si>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</si>
  <si>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</si>
  <si>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</si>
  <si>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</si>
  <si>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</si>
  <si>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</si>
  <si>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</si>
  <si>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</si>
  <si>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</si>
  <si>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</si>
  <si>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</si>
  <si>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</si>
  <si>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</si>
  <si>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</si>
  <si>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</si>
  <si>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</si>
  <si>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</si>
  <si>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</si>
  <si>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</si>
  <si>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</si>
  <si>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</si>
  <si>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</si>
  <si>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</si>
  <si>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</si>
  <si>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</si>
  <si>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</si>
  <si>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</si>
  <si>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</si>
  <si>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</si>
  <si>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</si>
  <si>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</si>
  <si>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</si>
  <si>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</si>
  <si>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</si>
  <si>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</si>
  <si>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</si>
  <si>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</si>
  <si>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</si>
  <si>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</si>
  <si>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</si>
  <si>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</si>
  <si>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</si>
  <si>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</si>
  <si>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</si>
  <si>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</si>
  <si>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</si>
  <si>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</si>
  <si>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</si>
  <si>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</si>
  <si>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</si>
  <si>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</si>
  <si>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</si>
  <si>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</si>
  <si>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</si>
  <si>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</si>
  <si>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</si>
  <si>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</si>
  <si>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</si>
  <si>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</si>
  <si>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</si>
  <si>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</si>
  <si>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</si>
  <si>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</si>
  <si>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</si>
  <si>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</si>
  <si>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</si>
  <si>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</si>
  <si>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</si>
  <si>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</si>
  <si>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</si>
  <si>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</si>
  <si>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</si>
  <si>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</si>
  <si>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</si>
  <si>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</si>
  <si>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</si>
  <si>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</si>
  <si>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</si>
  <si>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</si>
  <si>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</si>
  <si>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</si>
  <si>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</si>
  <si>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</si>
  <si>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</si>
  <si>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</si>
  <si>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</si>
  <si>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</si>
  <si>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</si>
  <si>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</si>
  <si>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</si>
  <si>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</si>
  <si>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</si>
  <si>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</si>
  <si>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</si>
  <si>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</si>
  <si>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</si>
  <si>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</si>
  <si>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</si>
  <si>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</si>
  <si>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</si>
  <si>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</si>
  <si>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</si>
  <si>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</si>
  <si>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</si>
  <si>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</si>
  <si>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</si>
  <si>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</si>
  <si>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</si>
  <si>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</si>
  <si>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</si>
  <si>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</si>
  <si>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</si>
  <si>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</si>
  <si>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</si>
  <si>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</si>
  <si>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</si>
  <si>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</si>
  <si>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</si>
  <si>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</si>
  <si>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</si>
  <si>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</si>
  <si>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</si>
  <si>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</si>
  <si>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</si>
  <si>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</si>
  <si>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</si>
  <si>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</si>
  <si>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</si>
  <si>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</si>
  <si>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</si>
  <si>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</si>
  <si>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</si>
  <si>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</si>
  <si>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</si>
  <si>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</si>
  <si>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</si>
  <si>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</si>
  <si>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</si>
  <si>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</si>
  <si>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</si>
  <si>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</si>
  <si>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</si>
  <si>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</si>
  <si>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</si>
  <si>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</si>
  <si>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</si>
  <si>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</si>
  <si>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</si>
  <si>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</si>
  <si>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</si>
  <si>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</si>
  <si>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</si>
  <si>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</si>
  <si>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</si>
  <si>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</si>
  <si>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</si>
  <si>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</si>
  <si>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</si>
  <si>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</si>
  <si>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</si>
  <si>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</si>
  <si>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</si>
  <si>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</si>
  <si>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</si>
  <si>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</si>
  <si>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</si>
  <si>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</si>
  <si>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</si>
  <si>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</si>
  <si>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</si>
  <si>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</si>
  <si>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</si>
  <si>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</si>
  <si>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</si>
  <si>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</si>
  <si>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</si>
  <si>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</si>
  <si>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</si>
  <si>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</si>
  <si>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</si>
  <si>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</si>
  <si>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</si>
  <si>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</si>
  <si>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</si>
  <si>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</si>
  <si>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</si>
  <si>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</si>
  <si>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</si>
  <si>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</si>
  <si>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</si>
  <si>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</si>
  <si>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</si>
  <si>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</si>
  <si>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</si>
  <si>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</si>
  <si>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</si>
  <si>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</si>
  <si>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</si>
  <si>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</si>
  <si>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</si>
  <si>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</si>
  <si>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</si>
  <si>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</si>
  <si>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</si>
  <si>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</si>
  <si>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</si>
  <si>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</si>
  <si>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</si>
  <si>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</si>
  <si>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</si>
  <si>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</si>
  <si>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</si>
  <si>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</si>
  <si>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</si>
  <si>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</si>
  <si>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</si>
  <si>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</si>
  <si>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</si>
  <si>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</si>
  <si>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</si>
  <si>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</si>
  <si>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</si>
  <si>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</si>
  <si>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</si>
  <si>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</si>
  <si>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</si>
  <si>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</si>
  <si>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</si>
  <si>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</si>
  <si>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</si>
  <si>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</si>
  <si>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</si>
  <si>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</si>
  <si>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</si>
  <si>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</si>
  <si>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</si>
  <si>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</si>
  <si>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</si>
  <si>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</si>
  <si>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</si>
  <si>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</si>
  <si>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</si>
  <si>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</si>
  <si>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</si>
  <si>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</si>
  <si>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</si>
  <si>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</si>
  <si>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</si>
  <si>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</si>
  <si>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</si>
  <si>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</si>
  <si>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</si>
  <si>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</si>
  <si>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</si>
  <si>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</si>
  <si>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</si>
  <si>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</si>
  <si>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</si>
  <si>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</si>
  <si>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</si>
  <si>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</si>
  <si>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</si>
  <si>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</si>
  <si>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</si>
  <si>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</si>
  <si>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</si>
  <si>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</si>
  <si>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</si>
  <si>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</si>
  <si>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</si>
  <si>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</si>
  <si>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</si>
  <si>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</si>
  <si>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</si>
  <si>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</si>
  <si>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</si>
  <si>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</si>
  <si>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</si>
  <si>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</si>
  <si>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</si>
  <si>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</si>
  <si>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</si>
  <si>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</si>
  <si>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</si>
  <si>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</si>
  <si>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</si>
  <si>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</si>
  <si>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</si>
  <si>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</si>
  <si>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</si>
  <si>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</si>
  <si>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</si>
  <si>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</si>
  <si>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</si>
  <si>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</si>
  <si>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</si>
  <si>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</si>
  <si>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</si>
  <si>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</si>
  <si>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</si>
  <si>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</si>
  <si>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</si>
  <si>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</si>
  <si>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</si>
  <si>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</si>
  <si>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</si>
  <si>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</si>
  <si>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</si>
  <si>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</si>
  <si>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</si>
  <si>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</si>
  <si>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</si>
  <si>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</si>
  <si>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</si>
  <si>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</si>
  <si>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</si>
  <si>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</si>
  <si>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</si>
  <si>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</si>
  <si>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</si>
  <si>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</si>
  <si>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</si>
  <si>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</si>
  <si>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</si>
  <si>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</si>
  <si>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</si>
  <si>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</si>
  <si>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</si>
  <si>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</si>
  <si>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</si>
  <si>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</si>
  <si>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</si>
  <si>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</si>
  <si>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</si>
  <si>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</si>
  <si>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</si>
  <si>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</si>
  <si>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</si>
  <si>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</si>
  <si>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</si>
  <si>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</si>
  <si>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</si>
  <si>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</si>
  <si>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</si>
  <si>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</si>
  <si>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</si>
  <si>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</si>
  <si>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</si>
  <si>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</si>
  <si>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</si>
  <si>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</si>
  <si>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</si>
  <si>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</si>
  <si>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</si>
  <si>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</si>
  <si>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</si>
  <si>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</si>
  <si>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</si>
  <si>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</si>
  <si>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</si>
  <si>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</si>
  <si>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</si>
  <si>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</si>
  <si>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</si>
  <si>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</si>
  <si>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</si>
  <si>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</si>
  <si>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</si>
  <si>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</si>
  <si>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</si>
  <si>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</si>
  <si>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</si>
  <si>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</si>
  <si>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</si>
  <si>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</si>
  <si>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</si>
  <si>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</si>
  <si>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</si>
  <si>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</si>
  <si>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</si>
  <si>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</si>
  <si>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</si>
  <si>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</si>
  <si>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</si>
  <si>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</si>
  <si>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</si>
  <si>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</si>
  <si>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</si>
  <si>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</si>
  <si>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</si>
  <si>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</si>
  <si>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</si>
  <si>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</si>
  <si>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</si>
  <si>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</si>
  <si>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</si>
  <si>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</si>
  <si>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</si>
  <si>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</si>
  <si>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</si>
  <si>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</si>
  <si>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</si>
  <si>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</si>
  <si>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</si>
  <si>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</si>
  <si>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</si>
  <si>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</si>
  <si>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</si>
  <si>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</si>
  <si>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</si>
  <si>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</si>
  <si>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</si>
  <si>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</si>
  <si>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</si>
  <si>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</si>
  <si>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</si>
  <si>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</si>
  <si>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</si>
  <si>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</si>
  <si>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</si>
  <si>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</si>
  <si>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</si>
  <si>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</si>
  <si>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</si>
  <si>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</si>
  <si>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</si>
  <si>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</si>
  <si>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</si>
  <si>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</si>
  <si>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</si>
  <si>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</si>
  <si>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</si>
  <si>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</si>
  <si>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</si>
  <si>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</si>
  <si>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</si>
  <si>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</si>
  <si>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</si>
  <si>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</si>
  <si>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</si>
  <si>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</si>
  <si>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</si>
  <si>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</si>
  <si>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</si>
  <si>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</si>
  <si>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</si>
  <si>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</si>
  <si>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</si>
  <si>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</si>
  <si>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</si>
  <si>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</si>
  <si>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</si>
  <si>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</si>
  <si>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</si>
  <si>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</si>
  <si>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</si>
  <si>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</si>
  <si>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</si>
  <si>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</si>
  <si>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</si>
  <si>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</si>
  <si>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</si>
  <si>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</si>
  <si>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</si>
  <si>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</si>
  <si>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</si>
  <si>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</si>
  <si>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</si>
  <si>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</si>
  <si>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</si>
  <si>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</si>
  <si>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</si>
  <si>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</si>
  <si>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</si>
  <si>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</si>
  <si>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</si>
  <si>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</si>
  <si>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</si>
  <si>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</si>
  <si>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</si>
  <si>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</si>
  <si>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</si>
  <si>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</si>
  <si>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</si>
  <si>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</si>
  <si>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</si>
  <si>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</si>
  <si>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</si>
  <si>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</si>
  <si>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</si>
  <si>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</si>
  <si>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</si>
  <si>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</si>
  <si>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</si>
  <si>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</si>
  <si>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</si>
  <si>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</si>
  <si>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</si>
  <si>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</si>
  <si>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</si>
  <si>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</si>
  <si>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</si>
  <si>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</si>
  <si>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</si>
  <si>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</si>
  <si>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</si>
  <si>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</si>
  <si>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</si>
  <si>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</si>
  <si>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</si>
  <si>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</si>
  <si>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</si>
  <si>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</si>
  <si>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</si>
  <si>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</si>
  <si>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</si>
  <si>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</si>
  <si>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</si>
  <si>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</si>
  <si>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</si>
  <si>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</si>
  <si>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</si>
  <si>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</si>
  <si>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</si>
  <si>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</si>
  <si>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</si>
  <si>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</si>
  <si>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</si>
  <si>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</si>
  <si>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</si>
  <si>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</si>
  <si>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</si>
  <si>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</si>
  <si>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</si>
  <si>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</si>
  <si>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</si>
  <si>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</si>
  <si>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</si>
  <si>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</si>
  <si>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</si>
  <si>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</si>
  <si>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</si>
  <si>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</si>
  <si>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</si>
  <si>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</si>
  <si>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</si>
  <si>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</si>
  <si>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</si>
  <si>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</si>
  <si>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</si>
  <si>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</si>
  <si>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</si>
  <si>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</si>
  <si>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</si>
  <si>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</si>
  <si>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</si>
  <si>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</si>
  <si>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</si>
  <si>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</si>
  <si>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</si>
  <si>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</si>
  <si>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</si>
  <si>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</si>
  <si>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</si>
  <si>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</si>
  <si>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</si>
  <si>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</si>
  <si>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</si>
  <si>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</si>
  <si>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</si>
  <si>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</si>
  <si>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</si>
  <si>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</si>
  <si>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</si>
  <si>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</si>
  <si>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</si>
  <si>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</si>
  <si>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</si>
  <si>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</si>
  <si>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</si>
  <si>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</si>
  <si>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</si>
  <si>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</si>
  <si>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</si>
  <si>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</si>
  <si>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</si>
  <si>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</si>
  <si>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</si>
  <si>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</si>
  <si>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</si>
  <si>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</si>
  <si>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</si>
  <si>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</si>
  <si>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</si>
  <si>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</si>
  <si>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</si>
  <si>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</si>
  <si>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</si>
  <si>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</si>
  <si>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</si>
  <si>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</si>
  <si>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</si>
  <si>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</si>
  <si>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</si>
  <si>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</si>
  <si>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</si>
  <si>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</si>
  <si>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</si>
  <si>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</si>
  <si>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</si>
  <si>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</si>
  <si>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</si>
  <si>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</si>
  <si>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</si>
  <si>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</si>
  <si>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</si>
  <si>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</si>
  <si>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</si>
  <si>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</si>
  <si>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</si>
  <si>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</si>
  <si>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</si>
  <si>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</si>
  <si>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</si>
  <si>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</si>
  <si>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</si>
  <si>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</si>
  <si>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</si>
  <si>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</si>
  <si>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</si>
  <si>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</si>
  <si>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</si>
  <si>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</si>
  <si>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</si>
  <si>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</si>
  <si>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</si>
  <si>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</si>
  <si>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</si>
  <si>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</si>
  <si>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</si>
  <si>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</si>
  <si>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</si>
  <si>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</si>
  <si>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</si>
  <si>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</si>
  <si>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</si>
  <si>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</si>
  <si>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</si>
  <si>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</si>
  <si>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</si>
  <si>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</si>
  <si>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</si>
  <si>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</si>
  <si>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</si>
  <si>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</si>
  <si>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</si>
  <si>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</si>
  <si>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</si>
  <si>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</si>
  <si>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</si>
  <si>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</si>
  <si>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</si>
  <si>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</si>
  <si>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</si>
  <si>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</si>
  <si>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</si>
  <si>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</si>
  <si>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</si>
  <si>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</si>
  <si>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</si>
  <si>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</si>
  <si>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</si>
  <si>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</si>
  <si>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</si>
  <si>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</si>
  <si>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</si>
  <si>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</si>
  <si>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</si>
  <si>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</si>
  <si>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</si>
  <si>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</si>
  <si>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</si>
  <si>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</si>
  <si>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</si>
  <si>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</si>
  <si>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</si>
  <si>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</si>
  <si>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</si>
  <si>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</si>
  <si>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</si>
  <si>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</si>
  <si>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</si>
  <si>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</si>
  <si>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</si>
  <si>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</si>
  <si>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</si>
  <si>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</si>
  <si>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</si>
  <si>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</si>
  <si>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</si>
  <si>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</si>
  <si>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</si>
  <si>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</si>
  <si>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</si>
  <si>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</si>
  <si>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</si>
  <si>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</si>
  <si>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</si>
  <si>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</si>
  <si>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</si>
  <si>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</si>
  <si>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</si>
  <si>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</si>
  <si>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</si>
  <si>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</si>
  <si>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</si>
  <si>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</si>
  <si>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</si>
  <si>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</si>
  <si>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</si>
  <si>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</si>
  <si>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</si>
  <si>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</si>
  <si>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</si>
  <si>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</si>
  <si>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</si>
  <si>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</si>
  <si>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</si>
  <si>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</si>
  <si>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</si>
  <si>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</si>
  <si>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</si>
  <si>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</si>
  <si>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</si>
  <si>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</si>
  <si>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</si>
  <si>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</si>
  <si>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</si>
  <si>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</si>
  <si>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</si>
  <si>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</si>
  <si>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</si>
  <si>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</si>
  <si>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</si>
  <si>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</si>
  <si>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</si>
  <si>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</si>
  <si>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</si>
  <si>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</si>
  <si>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</si>
  <si>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</si>
  <si>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</si>
  <si>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</si>
  <si>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</si>
  <si>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</si>
  <si>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</si>
  <si>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</si>
  <si>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</si>
  <si>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</si>
  <si>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</si>
  <si>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</si>
  <si>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</si>
  <si>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</si>
  <si>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</si>
  <si>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</si>
  <si>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</si>
  <si>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</si>
  <si>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</si>
  <si>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</si>
  <si>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</si>
  <si>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</si>
  <si>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</si>
  <si>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</si>
  <si>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</si>
  <si>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</si>
  <si>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</si>
  <si>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</si>
  <si>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</si>
  <si>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</si>
  <si>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</si>
  <si>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</si>
  <si>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</si>
  <si>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</si>
  <si>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</si>
  <si>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</si>
  <si>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</si>
  <si>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</si>
  <si>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</si>
  <si>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</si>
  <si>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</si>
  <si>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</si>
  <si>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</si>
  <si>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</si>
  <si>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</si>
  <si>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</si>
  <si>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</si>
  <si>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</si>
  <si>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</si>
  <si>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</si>
  <si>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</si>
  <si>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</si>
  <si>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</si>
  <si>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</si>
  <si>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</si>
  <si>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</si>
  <si>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</si>
  <si>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</si>
  <si>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</si>
  <si>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</si>
  <si>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</si>
  <si>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</si>
  <si>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</si>
  <si>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</si>
  <si>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</si>
  <si>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</si>
  <si>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</si>
  <si>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</si>
  <si>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</si>
  <si>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</si>
  <si>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</si>
  <si>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</si>
  <si>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</si>
  <si>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</si>
  <si>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</si>
  <si>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</si>
  <si>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</si>
  <si>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</si>
  <si>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</si>
  <si>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</si>
  <si>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</si>
  <si>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</si>
  <si>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</si>
  <si>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</si>
  <si>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</si>
  <si>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</si>
  <si>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</si>
  <si>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</si>
  <si>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</si>
  <si>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</si>
  <si>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</si>
  <si>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</si>
  <si>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</si>
  <si>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</si>
  <si>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</si>
  <si>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</si>
  <si>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</si>
  <si>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</si>
  <si>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</si>
  <si>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</si>
  <si>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</si>
  <si>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</si>
  <si>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</si>
  <si>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</si>
  <si>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</si>
  <si>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</si>
  <si>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</si>
  <si>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</si>
  <si>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</si>
  <si>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</si>
  <si>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</si>
  <si>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</si>
  <si>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</si>
  <si>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</si>
  <si>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</si>
  <si>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</si>
  <si>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</si>
  <si>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</si>
  <si>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</si>
  <si>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</si>
  <si>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</si>
  <si>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</si>
  <si>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</si>
  <si>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</si>
  <si>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</si>
  <si>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</si>
  <si>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</si>
  <si>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</si>
  <si>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</si>
  <si>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</si>
  <si>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</si>
  <si>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</si>
  <si>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</si>
  <si>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</si>
  <si>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</si>
  <si>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</si>
  <si>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</si>
  <si>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</si>
  <si>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</si>
  <si>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</si>
  <si>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</si>
  <si>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</si>
  <si>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</si>
  <si>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</si>
  <si>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</si>
  <si>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</si>
  <si>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</si>
  <si>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</si>
  <si>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</si>
  <si>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</si>
  <si>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</si>
  <si>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</si>
  <si>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</si>
  <si>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</si>
  <si>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</si>
  <si>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</si>
  <si>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</si>
  <si>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</si>
  <si>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</si>
  <si>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</si>
  <si>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</si>
  <si>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</si>
  <si>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</si>
  <si>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</si>
  <si>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</si>
  <si>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</si>
  <si>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</si>
  <si>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</si>
  <si>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</si>
  <si>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</si>
  <si>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</si>
  <si>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</si>
  <si>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</si>
  <si>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</si>
  <si>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</si>
  <si>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</si>
  <si>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</si>
  <si>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</si>
  <si>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</si>
  <si>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</si>
  <si>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</si>
  <si>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</si>
  <si>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</si>
  <si>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</si>
  <si>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</si>
  <si>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</si>
  <si>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</si>
  <si>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</si>
  <si>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</si>
  <si>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</si>
  <si>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</si>
  <si>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</si>
  <si>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</si>
  <si>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</si>
  <si>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</si>
  <si>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</si>
  <si>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</si>
  <si>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</si>
  <si>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</si>
  <si>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</si>
  <si>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</si>
  <si>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</si>
  <si>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</si>
  <si>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</si>
  <si>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</si>
  <si>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</si>
  <si>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</si>
  <si>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</si>
  <si>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</si>
  <si>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</si>
  <si>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</si>
  <si>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</si>
  <si>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</si>
  <si>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</si>
  <si>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</si>
  <si>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</si>
  <si>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</si>
  <si>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</si>
  <si>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</si>
  <si>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</si>
  <si>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</si>
  <si>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</si>
  <si>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</si>
  <si>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</si>
  <si>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</si>
  <si>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</si>
  <si>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</si>
  <si>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</si>
  <si>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</si>
  <si>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</si>
  <si>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</si>
  <si>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</si>
  <si>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</si>
  <si>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</si>
  <si>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</si>
  <si>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</si>
  <si>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</si>
  <si>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</si>
  <si>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</si>
  <si>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</si>
  <si>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</si>
  <si>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</si>
  <si>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</si>
  <si>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</si>
  <si>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</si>
  <si>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</si>
  <si>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</si>
  <si>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</si>
  <si>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</si>
  <si>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</si>
  <si>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</si>
  <si>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</si>
  <si>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</si>
  <si>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</si>
  <si>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</si>
  <si>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</si>
  <si>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</si>
  <si>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</si>
  <si>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</si>
  <si>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</si>
  <si>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</si>
  <si>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</si>
  <si>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</si>
  <si>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</si>
  <si>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</si>
  <si>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</si>
  <si>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</si>
  <si>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</si>
  <si>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</si>
  <si>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</si>
  <si>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</si>
  <si>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</si>
  <si>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</si>
  <si>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</si>
  <si>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</si>
  <si>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</si>
  <si>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</si>
  <si>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</si>
  <si>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</si>
  <si>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</si>
  <si>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</si>
  <si>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</si>
  <si>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</si>
  <si>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</si>
  <si>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</si>
  <si>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</si>
  <si>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</si>
  <si>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</si>
  <si>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</si>
  <si>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</si>
  <si>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</si>
  <si>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</si>
  <si>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</si>
  <si>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</si>
  <si>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</si>
  <si>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</si>
  <si>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</si>
  <si>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</si>
  <si>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</si>
  <si>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</si>
  <si>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</si>
  <si>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</si>
  <si>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</si>
  <si>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</si>
  <si>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</si>
  <si>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</si>
  <si>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</si>
  <si>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</si>
  <si>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</si>
  <si>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</si>
  <si>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</si>
  <si>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</si>
  <si>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</si>
  <si>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</si>
  <si>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</si>
  <si>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</si>
  <si>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</si>
  <si>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</si>
  <si>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</si>
  <si>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</si>
  <si>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</si>
  <si>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</si>
  <si>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</si>
  <si>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</si>
  <si>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</si>
  <si>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</si>
  <si>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</si>
  <si>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</si>
  <si>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</si>
  <si>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</si>
  <si>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</si>
  <si>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</si>
  <si>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</si>
  <si>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</si>
  <si>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</si>
  <si>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</si>
  <si>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</si>
  <si>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</si>
  <si>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</si>
  <si>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</si>
  <si>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</si>
  <si>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</si>
  <si>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</si>
  <si>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</si>
  <si>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</si>
  <si>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</si>
  <si>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</si>
  <si>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</si>
  <si>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</si>
  <si>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</si>
  <si>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</si>
  <si>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</si>
  <si>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</si>
  <si>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</si>
  <si>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</si>
  <si>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</si>
  <si>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</si>
  <si>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</si>
  <si>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</si>
  <si>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</si>
  <si>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</si>
  <si>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</si>
  <si>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</si>
  <si>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</si>
  <si>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</si>
  <si>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</si>
  <si>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</si>
  <si>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</si>
  <si>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</si>
  <si>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</si>
  <si>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</si>
  <si>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</si>
  <si>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</si>
  <si>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</si>
  <si>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</si>
  <si>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</si>
  <si>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</si>
  <si>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</si>
  <si>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</si>
  <si>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</si>
  <si>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</si>
  <si>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</si>
  <si>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</si>
  <si>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</si>
  <si>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</si>
  <si>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</si>
  <si>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</si>
  <si>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</si>
  <si>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</si>
  <si>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</si>
  <si>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</si>
  <si>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</si>
  <si>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</si>
  <si>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</si>
  <si>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</si>
  <si>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</si>
  <si>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</si>
  <si>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</si>
  <si>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</si>
  <si>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</si>
  <si>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</si>
  <si>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</si>
  <si>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</si>
  <si>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</si>
  <si>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</si>
  <si>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</si>
  <si>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</si>
  <si>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</si>
  <si>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</si>
  <si>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</si>
  <si>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</si>
  <si>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</si>
  <si>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</si>
  <si>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</si>
  <si>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</si>
  <si>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</si>
  <si>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</si>
  <si>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</si>
  <si>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</si>
  <si>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</si>
  <si>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</si>
  <si>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</si>
  <si>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</si>
  <si>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</si>
  <si>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</si>
  <si>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</si>
  <si>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</si>
  <si>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</si>
  <si>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</si>
  <si>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</si>
  <si>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</si>
  <si>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</si>
  <si>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</si>
  <si>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</si>
  <si>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</si>
  <si>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</si>
  <si>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</si>
  <si>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</si>
  <si>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</si>
  <si>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</si>
  <si>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</si>
  <si>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</si>
  <si>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</si>
  <si>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</si>
  <si>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</si>
  <si>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</si>
  <si>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</si>
  <si>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</si>
  <si>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</si>
  <si>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</si>
  <si>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</si>
  <si>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</si>
  <si>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</si>
  <si>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</si>
  <si>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</si>
  <si>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</si>
  <si>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</si>
  <si>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</si>
  <si>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</si>
  <si>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</si>
  <si>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</si>
  <si>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</si>
  <si>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</si>
  <si>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</si>
  <si>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</si>
  <si>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</si>
  <si>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</si>
  <si>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</si>
  <si>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</si>
  <si>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</si>
  <si>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</si>
  <si>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</si>
  <si>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</si>
  <si>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</si>
  <si>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</si>
  <si>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</si>
  <si>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</si>
  <si>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</si>
  <si>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</si>
  <si>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</si>
  <si>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</si>
  <si>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</si>
  <si>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</si>
  <si>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</si>
  <si>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</si>
  <si>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</si>
  <si>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</si>
  <si>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</si>
  <si>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</si>
  <si>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</si>
  <si>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</si>
  <si>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</si>
  <si>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</si>
  <si>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</si>
  <si>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</si>
  <si>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</si>
  <si>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</si>
  <si>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</si>
  <si>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</si>
  <si>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</si>
  <si>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</si>
  <si>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</si>
  <si>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</si>
  <si>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</si>
  <si>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</si>
  <si>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</si>
  <si>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</si>
  <si>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</si>
  <si>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</si>
  <si>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</si>
  <si>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</si>
  <si>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</si>
  <si>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</si>
  <si>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</si>
  <si>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</si>
  <si>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</si>
  <si>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</si>
  <si>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</si>
  <si>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</si>
  <si>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</si>
  <si>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</si>
  <si>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</si>
  <si>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</si>
  <si>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</si>
  <si>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</si>
  <si>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</si>
  <si>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</si>
  <si>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</si>
  <si>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</si>
  <si>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</si>
  <si>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</si>
  <si>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</si>
  <si>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</si>
  <si>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</si>
  <si>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</si>
  <si>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</si>
  <si>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</si>
  <si>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</si>
  <si>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</si>
  <si>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</si>
  <si>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</si>
  <si>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</si>
  <si>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</si>
  <si>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</si>
  <si>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</si>
  <si>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</si>
  <si>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</si>
  <si>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</si>
  <si>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</si>
  <si>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</si>
  <si>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</si>
  <si>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</si>
  <si>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</si>
  <si>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</si>
  <si>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</si>
  <si>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</si>
  <si>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</si>
  <si>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</si>
  <si>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</si>
  <si>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</si>
  <si>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</si>
  <si>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</si>
  <si>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</si>
  <si>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</si>
  <si>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</si>
  <si>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</si>
  <si>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</si>
  <si>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</si>
  <si>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</si>
  <si>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</si>
  <si>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</si>
  <si>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</si>
  <si>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</si>
  <si>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</si>
  <si>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</si>
  <si>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</si>
  <si>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</si>
  <si>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</si>
  <si>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</si>
  <si>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</si>
  <si>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</si>
  <si>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</si>
  <si>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</si>
  <si>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</si>
  <si>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</si>
  <si>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</si>
  <si>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</si>
  <si>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</si>
  <si>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</si>
  <si>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</si>
  <si>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</si>
  <si>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</si>
  <si>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</si>
  <si>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</si>
  <si>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</si>
  <si>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</si>
  <si>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</si>
  <si>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</si>
  <si>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</si>
  <si>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</si>
  <si>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</si>
  <si>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</si>
  <si>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</si>
  <si>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</si>
  <si>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</si>
  <si>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</si>
  <si>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</si>
  <si>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</si>
  <si>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</si>
  <si>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</si>
  <si>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</si>
  <si>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</si>
  <si>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</si>
  <si>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</si>
  <si>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</si>
  <si>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</si>
  <si>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</si>
  <si>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</si>
  <si>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</si>
  <si>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</si>
  <si>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</si>
  <si>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</si>
  <si>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</si>
  <si>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</si>
  <si>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</si>
  <si>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</si>
  <si>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</si>
  <si>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</si>
  <si>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</si>
  <si>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</si>
  <si>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</si>
  <si>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</si>
  <si>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</si>
  <si>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</si>
  <si>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</si>
  <si>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</si>
  <si>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</si>
  <si>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</si>
  <si>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</si>
  <si>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</si>
  <si>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</si>
  <si>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</si>
  <si>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</si>
  <si>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</si>
  <si>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</si>
  <si>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</si>
  <si>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</si>
  <si>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</si>
  <si>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</si>
  <si>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</si>
  <si>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</si>
  <si>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</si>
  <si>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</si>
  <si>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</si>
  <si>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</si>
  <si>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</si>
  <si>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</si>
  <si>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</si>
  <si>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</si>
  <si>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</si>
  <si>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</si>
  <si>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</si>
  <si>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</si>
  <si>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</si>
  <si>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</si>
  <si>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</si>
  <si>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</si>
  <si>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</si>
  <si>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</si>
  <si>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</si>
  <si>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</si>
  <si>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</si>
  <si>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</si>
  <si>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</si>
  <si>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</si>
  <si>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</si>
  <si>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</si>
  <si>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</si>
  <si>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</si>
  <si>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</si>
  <si>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</si>
  <si>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</si>
  <si>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</si>
  <si>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</si>
  <si>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</si>
  <si>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</si>
  <si>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</si>
  <si>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</si>
  <si>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</si>
  <si>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</si>
  <si>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</si>
  <si>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</si>
  <si>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</si>
  <si>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</si>
  <si>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</si>
  <si>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</si>
  <si>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</si>
  <si>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</si>
  <si>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</si>
  <si>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</si>
  <si>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</si>
  <si>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</si>
  <si>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</si>
  <si>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</si>
  <si>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</si>
  <si>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</si>
  <si>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</si>
  <si>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</si>
  <si>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</si>
  <si>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</si>
  <si>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</si>
  <si>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</si>
  <si>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</si>
  <si>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</si>
  <si>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</si>
  <si>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</si>
  <si>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</si>
  <si>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</si>
  <si>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</si>
  <si>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</si>
  <si>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</si>
  <si>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</si>
  <si>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</si>
  <si>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</si>
  <si>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</si>
  <si>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</si>
  <si>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</si>
  <si>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</si>
  <si>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</si>
  <si>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</si>
  <si>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</si>
  <si>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</si>
  <si>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</si>
  <si>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</si>
  <si>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</si>
  <si>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</si>
  <si>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</si>
  <si>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</si>
  <si>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</si>
  <si>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</si>
  <si>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</si>
  <si>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</si>
  <si>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</si>
  <si>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</si>
  <si>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</si>
  <si>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</si>
  <si>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</si>
  <si>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</si>
  <si>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</si>
  <si>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</si>
  <si>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</si>
  <si>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</si>
  <si>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</si>
  <si>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</si>
  <si>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</si>
  <si>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</si>
  <si>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</si>
  <si>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</si>
  <si>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</si>
  <si>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</si>
  <si>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</si>
  <si>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</si>
  <si>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</si>
  <si>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</si>
  <si>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</si>
  <si>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</si>
  <si>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</si>
  <si>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</si>
  <si>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</si>
  <si>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</si>
  <si>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</si>
  <si>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</si>
  <si>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</si>
  <si>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</si>
  <si>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</si>
  <si>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</si>
  <si>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</si>
  <si>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</si>
  <si>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</si>
  <si>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</si>
  <si>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</si>
  <si>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</si>
  <si>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</si>
  <si>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</si>
  <si>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</si>
  <si>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</si>
  <si>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</si>
  <si>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</si>
  <si>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</si>
  <si>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</si>
  <si>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</si>
  <si>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</si>
  <si>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</si>
  <si>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</si>
  <si>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</si>
  <si>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</si>
  <si>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</si>
  <si>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</si>
  <si>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</si>
  <si>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</si>
  <si>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</si>
  <si>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</si>
  <si>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</si>
  <si>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</si>
  <si>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</si>
  <si>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</si>
  <si>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</si>
  <si>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</si>
  <si>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</si>
  <si>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</si>
  <si>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</si>
  <si>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</si>
  <si>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</si>
  <si>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</si>
  <si>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</si>
  <si>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</si>
  <si>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</si>
  <si>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</si>
  <si>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</si>
  <si>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</si>
  <si>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</si>
  <si>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</si>
  <si>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</si>
  <si>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</si>
  <si>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</si>
  <si>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</si>
  <si>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</si>
  <si>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</si>
  <si>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</si>
  <si>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</si>
  <si>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</si>
  <si>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</si>
  <si>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</si>
  <si>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</si>
  <si>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</si>
  <si>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</si>
  <si>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</si>
  <si>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</si>
  <si>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</si>
  <si>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</si>
  <si>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</si>
  <si>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</si>
  <si>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</si>
  <si>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</si>
  <si>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</si>
  <si>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</si>
  <si>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</si>
  <si>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</si>
  <si>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</si>
  <si>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</si>
  <si>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</si>
  <si>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</si>
  <si>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</si>
  <si>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</si>
  <si>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</si>
  <si>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</si>
  <si>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</si>
  <si>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</si>
  <si>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</si>
  <si>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</si>
  <si>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</si>
  <si>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</si>
  <si>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</si>
  <si>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</si>
  <si>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</si>
  <si>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</si>
  <si>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</si>
  <si>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</si>
  <si>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</si>
  <si>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</si>
  <si>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</si>
  <si>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</si>
  <si>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</si>
  <si>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</si>
  <si>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</si>
  <si>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</si>
  <si>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</si>
  <si>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</si>
  <si>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</si>
  <si>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</si>
  <si>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</si>
  <si>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</si>
  <si>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</si>
  <si>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</si>
  <si>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</si>
  <si>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</si>
  <si>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</si>
  <si>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</si>
  <si>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</si>
  <si>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</si>
  <si>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</si>
  <si>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</si>
  <si>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</si>
  <si>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</si>
  <si>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</si>
  <si>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</si>
  <si>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</si>
  <si>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</si>
  <si>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</si>
  <si>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</si>
  <si>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</si>
  <si>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</si>
  <si>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</si>
  <si>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</si>
  <si>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</si>
  <si>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</si>
  <si>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</si>
  <si>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</si>
  <si>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</si>
  <si>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</si>
  <si>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</si>
  <si>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</si>
  <si>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</si>
  <si>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</si>
  <si>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</si>
  <si>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</si>
  <si>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</si>
  <si>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</si>
  <si>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</si>
  <si>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</si>
  <si>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</si>
  <si>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</si>
  <si>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</si>
  <si>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</si>
  <si>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</si>
  <si>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</si>
  <si>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</si>
  <si>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</si>
  <si>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</si>
  <si>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</si>
  <si>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</si>
  <si>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</si>
  <si>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</si>
  <si>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</si>
  <si>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</si>
  <si>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</si>
  <si>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</si>
  <si>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</si>
  <si>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</si>
  <si>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</si>
  <si>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</si>
  <si>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</si>
  <si>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</si>
  <si>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</si>
  <si>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</si>
  <si>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</si>
  <si>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</si>
  <si>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</si>
  <si>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</si>
  <si>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</si>
  <si>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</si>
  <si>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</si>
  <si>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</si>
  <si>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</si>
  <si>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</si>
  <si>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</si>
  <si>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</si>
  <si>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</si>
  <si>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</si>
  <si>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</si>
  <si>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</si>
  <si>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</si>
  <si>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</si>
  <si>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</si>
  <si>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</si>
  <si>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</si>
  <si>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</si>
  <si>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</si>
  <si>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</si>
  <si>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</si>
  <si>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</si>
  <si>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</si>
  <si>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</si>
  <si>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</si>
  <si>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</si>
  <si>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</si>
  <si>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</si>
  <si>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</si>
  <si>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</si>
  <si>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</si>
  <si>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</si>
  <si>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</si>
  <si>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</si>
  <si>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</si>
  <si>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</si>
  <si>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</si>
  <si>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</si>
  <si>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</si>
  <si>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</si>
  <si>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</si>
  <si>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</si>
  <si>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</si>
  <si>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</si>
  <si>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</si>
  <si>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</si>
  <si>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</si>
  <si>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</si>
  <si>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</si>
  <si>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</si>
  <si>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</si>
  <si>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</si>
  <si>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</si>
  <si>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</si>
  <si>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</si>
  <si>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</si>
  <si>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</si>
  <si>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</si>
  <si>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</si>
  <si>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</si>
  <si>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</si>
  <si>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</si>
  <si>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</si>
  <si>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</si>
  <si>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</si>
  <si>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</si>
  <si>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</si>
  <si>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</si>
  <si>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</si>
  <si>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</si>
  <si>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</si>
  <si>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</si>
  <si>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</si>
  <si>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</si>
  <si>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</si>
  <si>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</si>
  <si>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</si>
  <si>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</si>
  <si>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</si>
  <si>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</si>
  <si>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</si>
  <si>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</si>
  <si>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</si>
  <si>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</si>
  <si>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</si>
  <si>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</si>
  <si>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</si>
  <si>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</si>
  <si>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</si>
  <si>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</si>
  <si>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</si>
  <si>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</si>
  <si>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</si>
  <si>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</si>
  <si>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</si>
  <si>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</si>
  <si>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</si>
  <si>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</si>
  <si>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</si>
  <si>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</si>
  <si>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</si>
  <si>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</si>
  <si>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</si>
  <si>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</si>
  <si>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</si>
  <si>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</si>
  <si>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</si>
  <si>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</si>
  <si>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</si>
  <si>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</si>
  <si>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</si>
  <si>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</si>
  <si>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</si>
  <si>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</si>
  <si>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</si>
  <si>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</si>
  <si>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</si>
  <si>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</si>
  <si>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</si>
  <si>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</si>
  <si>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</si>
  <si>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</si>
  <si>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</si>
  <si>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</si>
  <si>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</si>
  <si>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</si>
  <si>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</si>
  <si>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</si>
  <si>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</si>
  <si>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</si>
  <si>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</si>
  <si>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</si>
  <si>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</si>
  <si>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</si>
  <si>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</si>
  <si>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</si>
  <si>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</si>
  <si>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</si>
  <si>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</si>
  <si>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</si>
  <si>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</si>
  <si>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</si>
  <si>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</si>
  <si>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</si>
  <si>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</si>
  <si>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</si>
  <si>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</si>
  <si>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</si>
  <si>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</si>
  <si>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</si>
  <si>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</si>
  <si>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</si>
  <si>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</si>
  <si>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</si>
  <si>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</si>
  <si>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</si>
  <si>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</si>
  <si>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</si>
  <si>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</si>
  <si>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</si>
  <si>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</si>
  <si>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</si>
  <si>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</si>
  <si>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</si>
  <si>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</si>
  <si>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</si>
  <si>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</si>
  <si>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</si>
  <si>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</si>
  <si>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</si>
  <si>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</si>
  <si>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</si>
  <si>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</si>
  <si>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</si>
  <si>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</si>
  <si>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</si>
  <si>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</si>
  <si>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</si>
  <si>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</si>
  <si>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</si>
  <si>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</si>
  <si>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</si>
  <si>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</si>
  <si>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</si>
  <si>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</si>
  <si>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</si>
  <si>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</si>
  <si>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</si>
  <si>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</si>
  <si>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</si>
  <si>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</si>
  <si>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</si>
  <si>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</si>
  <si>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</si>
  <si>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</si>
  <si>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</si>
  <si>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</si>
  <si>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</si>
  <si>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</si>
  <si>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</si>
  <si>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</si>
  <si>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</si>
  <si>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</si>
  <si>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</si>
  <si>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</si>
  <si>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</si>
  <si>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</si>
  <si>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</si>
  <si>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</si>
  <si>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</si>
  <si>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</si>
  <si>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</si>
  <si>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</si>
  <si>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</si>
  <si>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</si>
  <si>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</si>
  <si>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</si>
  <si>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</si>
  <si>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</si>
  <si>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</si>
  <si>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</si>
  <si>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</si>
  <si>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</si>
  <si>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</si>
  <si>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</si>
  <si>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</si>
  <si>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</si>
  <si>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</si>
  <si>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</si>
  <si>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</si>
  <si>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</si>
  <si>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</si>
  <si>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</si>
  <si>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</si>
  <si>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</si>
  <si>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</si>
  <si>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</si>
  <si>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</si>
  <si>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</si>
  <si>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</si>
  <si>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</si>
  <si>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</si>
  <si>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</si>
  <si>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</si>
  <si>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</si>
  <si>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</si>
  <si>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</si>
  <si>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</si>
  <si>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</si>
  <si>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</si>
  <si>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</si>
  <si>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</si>
  <si>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</si>
  <si>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</si>
  <si>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</si>
  <si>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</si>
  <si>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</si>
  <si>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</si>
  <si>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</si>
  <si>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</si>
  <si>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</si>
  <si>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</si>
  <si>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</si>
  <si>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</si>
  <si>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</si>
  <si>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</si>
  <si>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</si>
  <si>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</si>
  <si>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</si>
  <si>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</si>
  <si>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</si>
  <si>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</si>
  <si>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</si>
  <si>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</si>
  <si>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</si>
  <si>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</si>
  <si>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</si>
  <si>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</si>
  <si>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</si>
  <si>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</si>
  <si>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</si>
  <si>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</si>
  <si>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</si>
  <si>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</si>
  <si>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</si>
  <si>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</si>
  <si>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</si>
  <si>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</si>
  <si>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</si>
  <si>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</si>
  <si>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</si>
  <si>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</si>
  <si>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</si>
  <si>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</si>
  <si>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</si>
  <si>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</si>
  <si>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</si>
  <si>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</si>
  <si>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</si>
  <si>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</si>
  <si>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</si>
  <si>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</si>
  <si>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</si>
  <si>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</si>
  <si>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</si>
  <si>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</si>
  <si>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</si>
  <si>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</si>
  <si>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</si>
  <si>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</si>
  <si>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</si>
  <si>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</si>
  <si>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</si>
  <si>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</si>
  <si>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</si>
  <si>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</si>
  <si>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</si>
  <si>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</si>
  <si>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</si>
  <si>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</si>
  <si>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</si>
  <si>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</si>
  <si>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</si>
  <si>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</si>
  <si>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</si>
  <si>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</si>
  <si>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</si>
  <si>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</si>
  <si>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</si>
  <si>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</si>
  <si>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</si>
  <si>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</si>
  <si>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</si>
  <si>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</si>
  <si>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</si>
  <si>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</si>
  <si>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</si>
  <si>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</si>
  <si>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</si>
  <si>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</si>
  <si>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</si>
  <si>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</si>
  <si>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</si>
  <si>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</si>
  <si>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</si>
  <si>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</si>
  <si>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</si>
  <si>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</si>
  <si>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</si>
  <si>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</si>
  <si>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</si>
  <si>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</si>
  <si>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</si>
  <si>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</si>
  <si>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</si>
  <si>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</si>
  <si>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</si>
  <si>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</si>
  <si>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</si>
  <si>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</si>
  <si>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</si>
  <si>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</si>
  <si>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</si>
  <si>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</si>
  <si>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</si>
  <si>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</si>
  <si>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</si>
  <si>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</si>
  <si>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</si>
  <si>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</si>
  <si>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</si>
  <si>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</si>
  <si>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</si>
  <si>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</si>
  <si>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</si>
  <si>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</si>
  <si>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</si>
  <si>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</si>
  <si>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</si>
  <si>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</si>
  <si>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</si>
  <si>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</si>
  <si>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</si>
  <si>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</si>
  <si>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</si>
  <si>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</si>
  <si>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</si>
  <si>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</si>
  <si>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</si>
  <si>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</si>
  <si>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</si>
  <si>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</si>
  <si>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</si>
  <si>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</si>
  <si>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</si>
  <si>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</si>
  <si>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</si>
  <si>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</si>
  <si>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</si>
  <si>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</si>
  <si>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</si>
  <si>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</si>
  <si>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</si>
  <si>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</si>
  <si>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</si>
  <si>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</si>
  <si>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</si>
  <si>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</si>
  <si>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</si>
  <si>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</si>
  <si>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</si>
  <si>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</si>
  <si>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</si>
  <si>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</si>
  <si>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</si>
  <si>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</si>
  <si>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</si>
  <si>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</si>
  <si>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</si>
  <si>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</si>
  <si>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</si>
  <si>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</si>
  <si>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</si>
  <si>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</si>
  <si>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</si>
  <si>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</si>
  <si>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</si>
  <si>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</si>
  <si>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</si>
  <si>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</si>
  <si>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</si>
  <si>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</si>
  <si>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</si>
  <si>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</si>
  <si>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</si>
  <si>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</si>
  <si>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</si>
  <si>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</si>
  <si>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</si>
  <si>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</si>
  <si>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</si>
  <si>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</si>
  <si>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</si>
  <si>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</si>
  <si>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</si>
  <si>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</si>
  <si>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</si>
  <si>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</si>
  <si>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</si>
  <si>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</si>
  <si>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</si>
  <si>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</si>
  <si>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</si>
  <si>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</si>
  <si>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</si>
  <si>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</si>
  <si>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</si>
  <si>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</si>
  <si>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</si>
  <si>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</si>
  <si>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</si>
  <si>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</si>
  <si>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</si>
  <si>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</si>
  <si>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</si>
  <si>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</si>
  <si>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</si>
  <si>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</si>
  <si>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</si>
  <si>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</si>
  <si>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</si>
  <si>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</si>
  <si>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</si>
  <si>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</si>
  <si>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</si>
  <si>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</si>
  <si>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</si>
  <si>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</si>
  <si>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</si>
  <si>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</si>
  <si>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</si>
  <si>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</si>
  <si>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</si>
  <si>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</si>
  <si>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</si>
  <si>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</si>
  <si>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</si>
  <si>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</si>
  <si>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</si>
  <si>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</si>
  <si>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</si>
  <si>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</si>
  <si>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</si>
  <si>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</si>
  <si>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</si>
  <si>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</si>
  <si>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</si>
  <si>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</si>
  <si>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</si>
  <si>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</si>
  <si>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</si>
  <si>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</si>
  <si>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</si>
  <si>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</si>
  <si>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</si>
  <si>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</si>
  <si>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</si>
  <si>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</si>
  <si>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</si>
  <si>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</si>
  <si>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</si>
  <si>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</si>
  <si>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</si>
  <si>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</si>
  <si>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</si>
  <si>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</si>
  <si>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</si>
  <si>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</si>
  <si>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</si>
  <si>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</si>
  <si>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</si>
  <si>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</si>
  <si>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</si>
  <si>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</si>
  <si>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</si>
  <si>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</si>
  <si>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</si>
  <si>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</si>
  <si>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</si>
  <si>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</si>
  <si>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</si>
  <si>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</si>
  <si>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</si>
  <si>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</si>
  <si>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</si>
  <si>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</si>
  <si>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</si>
  <si>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</si>
  <si>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</si>
  <si>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</si>
  <si>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</si>
  <si>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</si>
  <si>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</si>
  <si>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</si>
  <si>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</si>
  <si>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</si>
  <si>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</si>
  <si>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</si>
  <si>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</si>
  <si>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</si>
  <si>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</si>
  <si>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</si>
  <si>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</si>
  <si>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</si>
  <si>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</si>
  <si>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</si>
  <si>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</si>
  <si>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</si>
  <si>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</si>
  <si>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</si>
  <si>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</si>
  <si>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</si>
  <si>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</si>
  <si>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</si>
  <si>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</si>
  <si>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</si>
  <si>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</si>
  <si>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</si>
  <si>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</si>
  <si>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</si>
  <si>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</si>
  <si>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</si>
  <si>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</si>
  <si>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</si>
  <si>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</si>
  <si>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</si>
  <si>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</si>
  <si>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</si>
  <si>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</si>
  <si>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</si>
  <si>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</si>
  <si>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</si>
  <si>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</si>
  <si>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</si>
  <si>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</si>
  <si>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</si>
  <si>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</si>
  <si>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</si>
  <si>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</si>
  <si>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</si>
  <si>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</si>
  <si>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</si>
  <si>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</si>
  <si>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</si>
  <si>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</si>
  <si>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</si>
  <si>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</si>
  <si>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</si>
  <si>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</si>
  <si>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</si>
  <si>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</si>
  <si>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</si>
  <si>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</si>
  <si>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</si>
  <si>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</si>
  <si>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</si>
  <si>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</si>
  <si>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</si>
  <si>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</si>
  <si>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</si>
  <si>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</si>
  <si>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</si>
  <si>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</si>
  <si>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</si>
  <si>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</si>
  <si>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</si>
  <si>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</si>
  <si>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</si>
  <si>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</si>
  <si>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</si>
  <si>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</si>
  <si>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</si>
  <si>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</si>
  <si>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</si>
  <si>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</si>
  <si>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</si>
  <si>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</si>
  <si>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</si>
  <si>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</si>
  <si>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</si>
  <si>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</si>
  <si>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</si>
  <si>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</si>
  <si>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</si>
  <si>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</si>
  <si>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</si>
  <si>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</si>
  <si>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</si>
  <si>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</si>
  <si>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</si>
  <si>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</si>
  <si>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</si>
  <si>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</si>
  <si>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</si>
  <si>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</si>
  <si>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</si>
  <si>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</si>
  <si>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</si>
  <si>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</si>
  <si>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</si>
  <si>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</si>
  <si>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</si>
  <si>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</si>
  <si>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</si>
  <si>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</si>
  <si>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</si>
  <si>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</si>
  <si>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</si>
  <si>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</si>
  <si>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</si>
  <si>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</si>
  <si>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</si>
  <si>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</si>
  <si>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</si>
  <si>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</si>
  <si>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</si>
  <si>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</si>
  <si>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</si>
  <si>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</si>
  <si>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</si>
  <si>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</si>
  <si>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</si>
  <si>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</si>
  <si>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</si>
  <si>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</si>
  <si>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</si>
  <si>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</si>
  <si>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</si>
  <si>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</si>
  <si>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</si>
  <si>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</si>
  <si>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</si>
  <si>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</si>
  <si>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</si>
  <si>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</si>
  <si>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</si>
  <si>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</si>
  <si>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</si>
  <si>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</si>
  <si>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</si>
  <si>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</si>
  <si>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</si>
  <si>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</si>
  <si>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</si>
  <si>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</si>
  <si>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</si>
  <si>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</si>
  <si>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</si>
  <si>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</si>
  <si>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</si>
  <si>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</si>
  <si>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</si>
  <si>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</si>
  <si>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</si>
  <si>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</si>
  <si>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</si>
  <si>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</si>
  <si>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</si>
  <si>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</si>
  <si>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</si>
  <si>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</si>
  <si>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</si>
  <si>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</si>
  <si>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</si>
  <si>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</si>
  <si>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</si>
  <si>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</si>
  <si>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</si>
  <si>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</si>
  <si>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</si>
  <si>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</si>
  <si>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</si>
  <si>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</si>
  <si>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</si>
  <si>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</si>
  <si>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</si>
  <si>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</si>
  <si>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</si>
  <si>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</si>
  <si>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</si>
  <si>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</si>
  <si>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</si>
  <si>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</si>
  <si>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</si>
  <si>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</si>
  <si>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</si>
  <si>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</si>
  <si>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</si>
  <si>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</si>
  <si>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</si>
  <si>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</si>
  <si>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</si>
  <si>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</si>
  <si>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</si>
  <si>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</si>
  <si>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</si>
  <si>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</si>
  <si>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</si>
  <si>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</si>
  <si>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</si>
  <si>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</si>
  <si>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</si>
  <si>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</si>
  <si>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</si>
  <si>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</si>
  <si>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</si>
  <si>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</si>
  <si>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</si>
  <si>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</si>
  <si>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</si>
  <si>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</si>
  <si>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</si>
  <si>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</si>
  <si>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</si>
  <si>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</si>
  <si>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</si>
  <si>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</si>
  <si>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</si>
  <si>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</si>
  <si>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</si>
  <si>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</si>
  <si>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</si>
  <si>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</si>
  <si>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</si>
  <si>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</si>
  <si>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</si>
  <si>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</si>
  <si>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</si>
  <si>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</si>
  <si>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</si>
  <si>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</si>
  <si>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</si>
  <si>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</si>
  <si>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</si>
  <si>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</si>
  <si>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</si>
  <si>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</si>
  <si>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</si>
  <si>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</si>
  <si>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</si>
  <si>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</si>
  <si>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</si>
  <si>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</si>
  <si>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</si>
  <si>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</si>
  <si>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</si>
  <si>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</si>
  <si>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</si>
  <si>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</si>
  <si>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</si>
  <si>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</si>
  <si>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</si>
  <si>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</si>
  <si>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</si>
  <si>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</si>
  <si>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</si>
  <si>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</si>
  <si>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</si>
  <si>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</si>
  <si>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</si>
  <si>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</si>
  <si>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</si>
  <si>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</si>
  <si>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</si>
  <si>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</si>
  <si>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</si>
  <si>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</si>
  <si>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</si>
  <si>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</si>
  <si>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</si>
  <si>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</si>
  <si>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</si>
  <si>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</si>
  <si>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</si>
  <si>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</si>
  <si>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</si>
  <si>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</si>
  <si>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</si>
  <si>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</si>
  <si>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</si>
  <si>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</si>
  <si>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</si>
  <si>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</si>
  <si>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</si>
  <si>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</si>
  <si>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</si>
  <si>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</si>
  <si>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</si>
  <si>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</si>
  <si>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</si>
  <si>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</si>
  <si>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</si>
  <si>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</si>
  <si>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</si>
  <si>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</si>
  <si>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</si>
  <si>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</si>
  <si>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</si>
  <si>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</si>
  <si>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</si>
  <si>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</si>
  <si>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</si>
  <si>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</si>
  <si>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</si>
  <si>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</si>
  <si>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</si>
  <si>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</si>
  <si>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</si>
  <si>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</si>
  <si>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</si>
  <si>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</si>
  <si>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</si>
  <si>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</si>
  <si>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</si>
  <si>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</si>
  <si>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</si>
  <si>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</si>
  <si>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</si>
  <si>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</si>
  <si>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</si>
  <si>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</si>
  <si>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</si>
  <si>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</si>
  <si>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</si>
  <si>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</si>
  <si>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</si>
  <si>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</si>
  <si>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</si>
  <si>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</si>
  <si>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</si>
  <si>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</si>
  <si>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</si>
  <si>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</si>
  <si>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</si>
  <si>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</si>
  <si>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</si>
  <si>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</si>
  <si>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</si>
  <si>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</si>
  <si>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</si>
  <si>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</si>
  <si>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</si>
  <si>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</si>
  <si>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</si>
  <si>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</si>
  <si>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</si>
  <si>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</si>
  <si>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</si>
  <si>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</si>
  <si>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</si>
  <si>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</si>
  <si>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</si>
  <si>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</si>
  <si>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</si>
  <si>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</si>
  <si>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</si>
  <si>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</si>
  <si>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</si>
  <si>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</si>
  <si>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</si>
  <si>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</si>
  <si>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</si>
  <si>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</si>
  <si>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</si>
  <si>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</si>
  <si>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</si>
  <si>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</si>
  <si>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</si>
  <si>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</si>
  <si>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</si>
  <si>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</si>
  <si>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</si>
  <si>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</si>
  <si>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</si>
  <si>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</si>
  <si>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</si>
  <si>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</si>
  <si>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</si>
  <si>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</si>
  <si>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</si>
  <si>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</si>
  <si>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</si>
  <si>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</si>
  <si>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</si>
  <si>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</si>
  <si>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</si>
  <si>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</si>
  <si>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</si>
  <si>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</si>
  <si>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</si>
  <si>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</si>
  <si>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</si>
  <si>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</si>
  <si>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</si>
  <si>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</si>
  <si>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</si>
  <si>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</si>
  <si>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</si>
  <si>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</si>
  <si>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</si>
  <si>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</si>
  <si>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</si>
  <si>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</si>
  <si>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</si>
  <si>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</si>
  <si>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</si>
  <si>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</si>
  <si>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</si>
  <si>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</si>
  <si>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</si>
  <si>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</si>
  <si>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</si>
  <si>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</si>
  <si>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</si>
  <si>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</si>
  <si>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</si>
  <si>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</si>
  <si>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</si>
  <si>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</si>
  <si>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</si>
  <si>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</si>
  <si>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</si>
  <si>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</si>
  <si>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</si>
  <si>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</si>
  <si>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</si>
  <si>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</si>
  <si>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</si>
  <si>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</si>
  <si>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</si>
  <si>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</si>
  <si>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</si>
  <si>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</si>
  <si>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</si>
  <si>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</si>
  <si>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</si>
  <si>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</si>
  <si>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</si>
  <si>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</si>
  <si>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</si>
  <si>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</si>
  <si>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</si>
  <si>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</si>
  <si>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</si>
  <si>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</si>
  <si>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</si>
  <si>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</si>
  <si>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</si>
  <si>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</si>
  <si>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</si>
  <si>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</si>
  <si>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</si>
  <si>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</si>
  <si>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</si>
  <si>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</si>
  <si>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</si>
  <si>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</si>
  <si>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</si>
  <si>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</si>
  <si>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</si>
  <si>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</si>
  <si>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</si>
  <si>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</si>
  <si>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</si>
  <si>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</si>
  <si>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</si>
  <si>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</si>
  <si>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</si>
  <si>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</si>
  <si>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</si>
  <si>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</si>
  <si>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</si>
  <si>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</si>
  <si>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</si>
  <si>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</si>
  <si>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</si>
  <si>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</si>
  <si>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</si>
  <si>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</si>
  <si>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</si>
  <si>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</si>
  <si>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</si>
  <si>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</si>
  <si>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</si>
  <si>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</si>
  <si>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</si>
  <si>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</si>
  <si>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</si>
  <si>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</si>
  <si>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</si>
  <si>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</si>
  <si>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</si>
  <si>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</si>
  <si>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</si>
  <si>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</si>
  <si>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</si>
  <si>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</si>
  <si>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</si>
  <si>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</si>
  <si>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</si>
  <si>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</si>
  <si>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</si>
  <si>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</si>
  <si>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</si>
  <si>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</si>
  <si>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</si>
  <si>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</si>
  <si>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</si>
  <si>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</si>
  <si>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</si>
  <si>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</si>
  <si>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</si>
  <si>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</si>
  <si>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</si>
  <si>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</si>
  <si>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</si>
  <si>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</si>
  <si>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</si>
  <si>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</si>
  <si>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</si>
  <si>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</si>
  <si>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</si>
  <si>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</si>
  <si>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</si>
  <si>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</si>
  <si>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</si>
  <si>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</si>
  <si>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</si>
  <si>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</si>
  <si>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</si>
  <si>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</si>
  <si>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</si>
  <si>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</si>
  <si>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</si>
  <si>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</si>
  <si>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</si>
  <si>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</si>
  <si>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</si>
  <si>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</si>
  <si>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</si>
  <si>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</si>
  <si>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</si>
  <si>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</si>
  <si>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</si>
  <si>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</si>
  <si>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</si>
  <si>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</si>
  <si>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</si>
  <si>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</si>
  <si>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</si>
  <si>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</si>
  <si>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</si>
  <si>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</si>
  <si>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</si>
  <si>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</si>
  <si>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</si>
  <si>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</si>
  <si>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</si>
  <si>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</si>
  <si>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</si>
  <si>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</si>
  <si>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</si>
  <si>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</si>
  <si>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</si>
  <si>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</si>
  <si>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</si>
  <si>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</si>
  <si>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</si>
  <si>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</si>
  <si>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</si>
  <si>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</si>
  <si>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</si>
  <si>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</si>
  <si>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</si>
  <si>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</si>
  <si>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</si>
  <si>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</si>
  <si>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</si>
  <si>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</si>
  <si>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</si>
  <si>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</si>
  <si>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</si>
  <si>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</si>
  <si>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</si>
  <si>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</si>
  <si>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</si>
  <si>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</si>
  <si>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</si>
  <si>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</si>
  <si>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</si>
  <si>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</si>
  <si>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</si>
  <si>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</si>
  <si>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</si>
  <si>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</si>
  <si>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</si>
  <si>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</si>
  <si>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</si>
  <si>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</si>
  <si>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</si>
  <si>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</si>
  <si>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</si>
  <si>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</si>
  <si>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</si>
  <si>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</si>
  <si>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</si>
  <si>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</si>
  <si>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</si>
  <si>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</si>
  <si>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</si>
  <si>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</si>
  <si>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</si>
  <si>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</si>
  <si>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</si>
  <si>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</si>
  <si>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</si>
  <si>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</si>
  <si>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</si>
  <si>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</si>
  <si>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</si>
  <si>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</si>
  <si>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</si>
  <si>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</si>
  <si>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</si>
  <si>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</si>
  <si>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</si>
  <si>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</si>
  <si>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</si>
  <si>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</si>
  <si>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</si>
  <si>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</si>
  <si>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</si>
  <si>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</si>
  <si>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</si>
  <si>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</si>
  <si>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</si>
  <si>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</si>
  <si>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</si>
  <si>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</si>
  <si>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</si>
  <si>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</si>
  <si>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</si>
  <si>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</si>
  <si>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</si>
  <si>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</si>
  <si>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</si>
  <si>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</si>
  <si>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</si>
  <si>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</si>
  <si>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</si>
  <si>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</si>
  <si>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</si>
  <si>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</si>
  <si>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</si>
  <si>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</si>
  <si>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</si>
  <si>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</si>
  <si>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</si>
  <si>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</si>
  <si>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</si>
  <si>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</si>
  <si>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</si>
  <si>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</si>
  <si>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</si>
  <si>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</si>
  <si>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</si>
  <si>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</si>
  <si>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</si>
  <si>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</si>
  <si>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</si>
  <si>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</si>
  <si>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</si>
  <si>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</si>
  <si>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</si>
  <si>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</si>
  <si>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</si>
  <si>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</si>
  <si>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</si>
  <si>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</si>
  <si>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</si>
  <si>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</si>
  <si>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</si>
  <si>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</si>
  <si>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</si>
  <si>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</si>
  <si>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</si>
  <si>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</si>
  <si>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</si>
  <si>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</si>
  <si>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</si>
  <si>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</si>
  <si>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</si>
  <si>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</si>
  <si>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</si>
  <si>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</si>
  <si>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</si>
  <si>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</si>
  <si>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</si>
  <si>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</si>
  <si>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</si>
  <si>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</si>
  <si>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</si>
  <si>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</si>
  <si>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</si>
  <si>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</si>
  <si>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</si>
  <si>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</si>
  <si>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</si>
  <si>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</si>
  <si>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</si>
  <si>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</si>
  <si>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</si>
  <si>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</si>
  <si>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</si>
  <si>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</si>
  <si>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</si>
  <si>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</si>
  <si>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</si>
  <si>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</si>
  <si>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</si>
  <si>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</si>
  <si>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</si>
  <si>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</si>
  <si>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</si>
  <si>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</si>
  <si>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</si>
  <si>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</si>
  <si>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</si>
  <si>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</si>
  <si>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</si>
  <si>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</si>
  <si>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</si>
  <si>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</si>
  <si>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</si>
  <si>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</si>
  <si>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</si>
  <si>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</si>
  <si>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</si>
  <si>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</si>
  <si>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</si>
  <si>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</si>
  <si>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</si>
  <si>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</si>
  <si>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</si>
  <si>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</si>
  <si>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</si>
  <si>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</si>
  <si>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</si>
  <si>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</si>
  <si>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</si>
  <si>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</si>
  <si>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</si>
  <si>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</si>
  <si>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</si>
  <si>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</si>
  <si>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</si>
  <si>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</si>
  <si>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</si>
  <si>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</si>
  <si>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</si>
  <si>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</si>
  <si>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</si>
  <si>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</si>
  <si>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</si>
  <si>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</si>
  <si>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</si>
  <si>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</si>
  <si>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</si>
  <si>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</si>
  <si>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</si>
  <si>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</si>
  <si>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</si>
  <si>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</si>
  <si>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</si>
  <si>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</si>
  <si>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</si>
  <si>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</si>
  <si>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</si>
  <si>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</si>
  <si>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</si>
  <si>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</si>
  <si>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</si>
  <si>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</si>
  <si>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</si>
  <si>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</si>
  <si>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</si>
  <si>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</si>
  <si>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</si>
  <si>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</si>
  <si>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</si>
  <si>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</si>
  <si>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</si>
  <si>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</si>
  <si>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</si>
  <si>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</si>
  <si>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</si>
  <si>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</si>
  <si>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</si>
  <si>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</si>
  <si>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</si>
  <si>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</si>
  <si>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</si>
  <si>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</si>
  <si>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</si>
  <si>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</si>
  <si>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</si>
  <si>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</si>
  <si>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</si>
  <si>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</si>
  <si>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</si>
  <si>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</si>
  <si>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</si>
  <si>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</si>
  <si>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</si>
  <si>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</si>
  <si>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</si>
  <si>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</si>
  <si>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</si>
  <si>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</si>
  <si>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</si>
  <si>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</si>
  <si>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</si>
  <si>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</si>
  <si>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</si>
  <si>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</si>
  <si>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</si>
  <si>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</si>
  <si>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</si>
  <si>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</si>
  <si>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</si>
  <si>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</si>
  <si>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</si>
  <si>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</si>
  <si>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</si>
  <si>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</si>
  <si>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</si>
  <si>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</si>
  <si>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</si>
  <si>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</si>
  <si>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</si>
  <si>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</si>
  <si>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</si>
  <si>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</si>
  <si>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</si>
  <si>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</si>
  <si>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</si>
  <si>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</si>
  <si>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</si>
  <si>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</si>
  <si>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</si>
  <si>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</si>
  <si>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</si>
  <si>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</si>
  <si>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</si>
  <si>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</si>
  <si>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</si>
  <si>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</si>
  <si>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</si>
  <si>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</si>
  <si>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</si>
  <si>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</si>
  <si>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</si>
  <si>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</si>
  <si>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</si>
  <si>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</si>
  <si>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</si>
  <si>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</si>
  <si>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</si>
  <si>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</si>
  <si>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</si>
  <si>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</si>
  <si>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</si>
  <si>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</si>
  <si>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</si>
  <si>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</si>
  <si>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</si>
  <si>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</si>
  <si>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</si>
  <si>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</si>
  <si>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</si>
  <si>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</si>
  <si>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</si>
  <si>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</si>
  <si>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</si>
  <si>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</si>
  <si>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</si>
  <si>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</si>
  <si>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</si>
  <si>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</si>
  <si>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</si>
  <si>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</si>
  <si>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</si>
  <si>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</si>
  <si>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</si>
  <si>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</si>
  <si>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</si>
  <si>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</si>
  <si>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</si>
  <si>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</si>
  <si>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</si>
  <si>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</si>
  <si>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</si>
  <si>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</si>
  <si>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</si>
  <si>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</si>
  <si>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</si>
  <si>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</si>
  <si>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</si>
  <si>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</si>
  <si>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</si>
  <si>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</si>
  <si>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</si>
  <si>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</si>
  <si>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</si>
  <si>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</si>
  <si>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</si>
  <si>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</si>
  <si>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</si>
  <si>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</si>
  <si>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</si>
  <si>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</si>
  <si>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</si>
  <si>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</si>
  <si>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</si>
  <si>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</si>
  <si>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</si>
  <si>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</si>
  <si>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</si>
  <si>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</si>
  <si>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</si>
  <si>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</si>
  <si>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</si>
  <si>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</si>
  <si>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</si>
  <si>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</si>
  <si>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</si>
  <si>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</si>
  <si>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</si>
  <si>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</si>
  <si>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</si>
  <si>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</si>
  <si>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</si>
  <si>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</si>
  <si>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</si>
  <si>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</si>
  <si>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</si>
  <si>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</si>
  <si>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</si>
  <si>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</si>
  <si>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</si>
  <si>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</si>
  <si>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</si>
  <si>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</si>
  <si>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</si>
  <si>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</si>
  <si>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</si>
  <si>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</si>
  <si>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</si>
  <si>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</si>
  <si>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</si>
  <si>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</si>
  <si>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</si>
  <si>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</si>
  <si>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</si>
  <si>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</si>
  <si>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</si>
  <si>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</si>
  <si>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</si>
  <si>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</si>
  <si>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</si>
  <si>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</si>
  <si>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</si>
  <si>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</si>
  <si>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</si>
  <si>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</si>
  <si>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</si>
  <si>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</si>
  <si>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</si>
  <si>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</si>
  <si>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</si>
  <si>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</si>
  <si>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</si>
  <si>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</si>
  <si>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</si>
  <si>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</si>
  <si>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</si>
  <si>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</si>
  <si>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</si>
  <si>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</si>
  <si>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</si>
  <si>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</si>
  <si>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</si>
  <si>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</si>
  <si>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</si>
  <si>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</si>
  <si>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</si>
  <si>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</si>
  <si>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</si>
  <si>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</si>
  <si>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</si>
  <si>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</si>
  <si>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</si>
  <si>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</si>
  <si>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</si>
  <si>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</si>
  <si>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</si>
  <si>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</si>
  <si>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</si>
  <si>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</si>
  <si>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</si>
  <si>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</si>
  <si>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</si>
  <si>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</si>
  <si>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</si>
  <si>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</si>
  <si>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</si>
  <si>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</si>
  <si>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</si>
  <si>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</si>
  <si>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</si>
  <si>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</si>
  <si>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</si>
  <si>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</si>
  <si>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</si>
  <si>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</si>
  <si>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</si>
  <si>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</si>
  <si>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</si>
  <si>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</si>
  <si>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</si>
  <si>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</si>
  <si>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</si>
  <si>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</si>
  <si>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</si>
  <si>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</si>
  <si>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</si>
  <si>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</si>
  <si>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</si>
  <si>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</si>
  <si>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</si>
  <si>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</si>
  <si>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</si>
  <si>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</si>
  <si>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</si>
  <si>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</si>
  <si>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</si>
  <si>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</si>
  <si>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</si>
  <si>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</si>
  <si>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</si>
  <si>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</si>
  <si>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</si>
  <si>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</si>
  <si>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</si>
  <si>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</si>
  <si>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</si>
  <si>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</si>
  <si>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</si>
  <si>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</si>
  <si>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</si>
  <si>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</si>
  <si>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</si>
  <si>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</si>
  <si>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</si>
  <si>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</si>
  <si>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</si>
  <si>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</si>
  <si>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</si>
  <si>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</si>
  <si>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</si>
  <si>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</si>
  <si>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</si>
  <si>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</si>
  <si>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</si>
  <si>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</si>
  <si>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</si>
  <si>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</si>
  <si>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</si>
  <si>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</si>
  <si>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</si>
  <si>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</si>
  <si>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</si>
  <si>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</si>
  <si>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</si>
  <si>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</si>
  <si>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</si>
  <si>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</si>
  <si>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</si>
  <si>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</si>
  <si>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</si>
  <si>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</si>
  <si>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</si>
  <si>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</si>
  <si>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</si>
  <si>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</si>
  <si>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</si>
  <si>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</si>
  <si>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</si>
  <si>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</si>
  <si>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</si>
  <si>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</si>
  <si>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</si>
  <si>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</si>
  <si>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</si>
  <si>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</si>
  <si>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</si>
  <si>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</si>
  <si>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</si>
  <si>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</si>
  <si>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</si>
  <si>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</si>
  <si>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</si>
  <si>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</si>
  <si>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</si>
  <si>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</si>
  <si>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</si>
  <si>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</si>
  <si>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</si>
  <si>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</si>
  <si>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</si>
  <si>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</si>
  <si>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</si>
  <si>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</si>
  <si>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</si>
  <si>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</si>
  <si>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</si>
  <si>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</si>
  <si>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</si>
  <si>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</si>
  <si>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</si>
  <si>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</si>
  <si>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</si>
  <si>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</si>
  <si>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</si>
  <si>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</si>
  <si>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</si>
  <si>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</si>
  <si>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</si>
  <si>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</si>
  <si>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</si>
  <si>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</si>
  <si>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</si>
  <si>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</si>
  <si>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</si>
  <si>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</si>
  <si>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</si>
  <si>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</si>
  <si>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</si>
  <si>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</si>
  <si>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</si>
  <si>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</si>
  <si>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</si>
  <si>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</si>
  <si>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</si>
  <si>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</si>
  <si>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</si>
  <si>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</si>
  <si>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</si>
  <si>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</si>
  <si>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</si>
  <si>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</si>
  <si>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</si>
  <si>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</si>
  <si>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</si>
  <si>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</si>
  <si>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</si>
  <si>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</si>
  <si>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</si>
  <si>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</si>
  <si>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</si>
  <si>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</si>
  <si>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</si>
  <si>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</si>
  <si>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</si>
  <si>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</si>
  <si>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</si>
  <si>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</si>
  <si>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</si>
  <si>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</si>
  <si>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</si>
  <si>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</si>
  <si>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</si>
  <si>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</si>
  <si>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</si>
  <si>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</si>
  <si>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</si>
  <si>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</si>
  <si>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</si>
  <si>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</si>
  <si>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</si>
  <si>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</si>
  <si>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</si>
  <si>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</si>
  <si>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</si>
  <si>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</si>
  <si>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</si>
  <si>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</si>
  <si>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</si>
  <si>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</si>
  <si>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</si>
  <si>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</si>
  <si>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</si>
  <si>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</si>
  <si>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</si>
  <si>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</si>
  <si>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</si>
  <si>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</si>
  <si>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</si>
  <si>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</si>
  <si>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</si>
  <si>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</si>
  <si>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</si>
  <si>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</si>
  <si>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</si>
  <si>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</si>
  <si>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</si>
  <si>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</si>
  <si>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</si>
  <si>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</si>
  <si>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</si>
  <si>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</si>
  <si>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</si>
  <si>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</si>
  <si>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</si>
  <si>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</si>
  <si>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</si>
  <si>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</si>
  <si>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</si>
  <si>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</si>
  <si>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</si>
  <si>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</si>
  <si>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</si>
  <si>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</si>
  <si>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</si>
  <si>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</si>
  <si>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</si>
  <si>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</si>
  <si>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</si>
  <si>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</si>
  <si>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</si>
  <si>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</si>
  <si>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</si>
  <si>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</si>
  <si>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</si>
  <si>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</si>
  <si>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</si>
  <si>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</si>
  <si>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</si>
  <si>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</si>
  <si>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</si>
  <si>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</si>
  <si>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</si>
  <si>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</si>
  <si>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</si>
  <si>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</si>
  <si>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</si>
  <si>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</si>
  <si>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</si>
  <si>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</si>
  <si>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</si>
  <si>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</si>
  <si>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</si>
  <si>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</si>
  <si>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</si>
  <si>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</si>
  <si>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</si>
  <si>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</si>
  <si>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</si>
  <si>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</si>
  <si>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</si>
  <si>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</si>
  <si>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</si>
  <si>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</si>
  <si>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</si>
  <si>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</si>
  <si>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</si>
  <si>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</si>
  <si>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</si>
  <si>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</si>
  <si>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</si>
  <si>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</si>
  <si>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</si>
  <si>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</si>
  <si>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</si>
  <si>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</si>
  <si>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</si>
  <si>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</si>
  <si>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</si>
  <si>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</si>
  <si>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</si>
  <si>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</si>
  <si>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</si>
  <si>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</si>
  <si>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</si>
  <si>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</si>
  <si>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</si>
  <si>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</si>
  <si>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</si>
  <si>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</si>
  <si>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</si>
  <si>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</si>
  <si>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</si>
  <si>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</si>
  <si>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</si>
  <si>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</si>
  <si>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</si>
  <si>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</si>
  <si>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</si>
  <si>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</si>
  <si>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</si>
  <si>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</si>
  <si>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</si>
  <si>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</si>
  <si>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</si>
  <si>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</si>
  <si>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</si>
  <si>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</si>
  <si>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</si>
  <si>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</si>
  <si>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</si>
  <si>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</si>
  <si>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</si>
  <si>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</si>
  <si>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</si>
  <si>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</si>
  <si>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</si>
  <si>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</si>
  <si>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</si>
  <si>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</si>
  <si>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</si>
  <si>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</si>
  <si>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</si>
  <si>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</si>
  <si>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</si>
  <si>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</si>
  <si>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</si>
  <si>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</si>
  <si>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</si>
  <si>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</si>
  <si>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</si>
  <si>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</si>
  <si>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</si>
  <si>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</si>
  <si>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</si>
  <si>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</si>
  <si>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</si>
  <si>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</si>
  <si>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</si>
  <si>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</si>
  <si>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</si>
  <si>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</si>
  <si>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</si>
  <si>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</si>
  <si>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</si>
  <si>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</si>
  <si>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</si>
  <si>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</si>
  <si>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</si>
  <si>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</si>
  <si>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</si>
  <si>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</si>
  <si>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</si>
  <si>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</si>
  <si>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</si>
  <si>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</si>
  <si>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</si>
  <si>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</si>
  <si>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</si>
  <si>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</si>
  <si>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</si>
  <si>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</si>
  <si>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</si>
  <si>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</si>
  <si>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</si>
  <si>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</si>
  <si>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</si>
  <si>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</si>
  <si>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</si>
  <si>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</si>
  <si>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</si>
  <si>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</si>
  <si>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</si>
  <si>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</si>
  <si>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</si>
  <si>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</si>
  <si>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</si>
  <si>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</si>
  <si>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</si>
  <si>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</si>
  <si>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</si>
  <si>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</si>
  <si>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</si>
  <si>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</si>
  <si>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</si>
  <si>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</si>
  <si>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</si>
  <si>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</si>
  <si>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</si>
  <si>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</si>
  <si>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</si>
  <si>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</si>
  <si>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</si>
  <si>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</si>
  <si>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</si>
  <si>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</si>
  <si>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</si>
  <si>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</si>
  <si>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</si>
  <si>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</si>
  <si>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</si>
  <si>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</si>
  <si>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</si>
  <si>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</si>
  <si>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</si>
  <si>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</si>
  <si>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</si>
  <si>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</si>
  <si>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</si>
  <si>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</si>
  <si>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</si>
  <si>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</si>
  <si>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</si>
  <si>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</si>
  <si>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</si>
  <si>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</si>
  <si>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</si>
  <si>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</si>
  <si>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</si>
  <si>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</si>
  <si>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</si>
  <si>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</si>
  <si>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</si>
  <si>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</si>
  <si>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</si>
  <si>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</si>
  <si>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</si>
  <si>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</si>
  <si>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</si>
  <si>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</si>
  <si>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</si>
  <si>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</si>
  <si>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</si>
  <si>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</si>
  <si>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</si>
  <si>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</si>
  <si>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</si>
  <si>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</si>
  <si>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</si>
  <si>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</si>
  <si>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</si>
  <si>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</si>
  <si>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</si>
  <si>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</si>
  <si>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</si>
  <si>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</si>
  <si>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</si>
  <si>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</si>
  <si>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</si>
  <si>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</si>
  <si>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</si>
  <si>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</si>
  <si>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</si>
  <si>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</si>
  <si>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</si>
  <si>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</si>
  <si>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</si>
  <si>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</si>
  <si>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</si>
  <si>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</si>
  <si>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</si>
  <si>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</si>
  <si>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</si>
  <si>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</si>
  <si>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</si>
  <si>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</si>
  <si>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</si>
  <si>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</si>
  <si>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</si>
  <si>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</si>
  <si>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</si>
  <si>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</si>
  <si>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</si>
  <si>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</si>
  <si>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</si>
  <si>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</si>
  <si>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</si>
  <si>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</si>
  <si>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</si>
  <si>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</si>
  <si>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</si>
  <si>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</si>
  <si>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</si>
  <si>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</si>
  <si>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</si>
  <si>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</si>
  <si>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</si>
  <si>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</si>
  <si>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</si>
  <si>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</si>
  <si>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</si>
  <si>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</si>
  <si>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</si>
  <si>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</si>
  <si>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</si>
  <si>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</si>
  <si>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</si>
  <si>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</si>
  <si>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</si>
  <si>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</si>
  <si>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</si>
  <si>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</si>
  <si>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</si>
  <si>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</si>
  <si>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</si>
  <si>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</si>
  <si>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</si>
  <si>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</si>
  <si>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</si>
  <si>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</si>
  <si>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</si>
  <si>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</si>
  <si>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</si>
  <si>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</si>
  <si>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</si>
  <si>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</si>
  <si>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</si>
  <si>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</si>
  <si>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</si>
  <si>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</si>
  <si>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</si>
  <si>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</si>
  <si>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</si>
  <si>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</si>
  <si>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</si>
  <si>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</si>
  <si>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</si>
  <si>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</si>
  <si>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</si>
  <si>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</si>
  <si>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</si>
  <si>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</si>
  <si>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</si>
  <si>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</si>
  <si>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</si>
  <si>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</si>
  <si>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</si>
  <si>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</si>
  <si>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</si>
  <si>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</si>
  <si>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</si>
  <si>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</si>
  <si>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</si>
  <si>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</si>
  <si>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</si>
  <si>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</si>
  <si>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</si>
  <si>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</si>
  <si>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</si>
  <si>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</si>
  <si>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</si>
  <si>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</si>
  <si>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</si>
  <si>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</si>
  <si>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</si>
  <si>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</si>
  <si>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</si>
  <si>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</si>
  <si>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</si>
  <si>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</si>
  <si>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</si>
  <si>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</si>
  <si>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</si>
  <si>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</si>
  <si>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</si>
  <si>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</si>
  <si>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</si>
  <si>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</si>
  <si>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</si>
  <si>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</si>
  <si>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</si>
  <si>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</si>
  <si>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</si>
  <si>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</si>
  <si>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</si>
  <si>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</si>
  <si>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</si>
  <si>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</si>
  <si>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</si>
  <si>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</si>
  <si>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</si>
  <si>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</si>
  <si>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</si>
  <si>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</si>
  <si>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</si>
  <si>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</si>
  <si>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</si>
  <si>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</si>
  <si>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</si>
  <si>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</si>
  <si>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</si>
  <si>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</si>
  <si>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</si>
  <si>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</si>
  <si>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</si>
  <si>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</si>
  <si>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</si>
  <si>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</si>
  <si>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</si>
  <si>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</si>
  <si>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</si>
  <si>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</si>
  <si>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</si>
  <si>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</si>
  <si>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</si>
  <si>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</si>
  <si>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</si>
  <si>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</si>
  <si>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</si>
  <si>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</si>
  <si>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</si>
  <si>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</si>
  <si>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</si>
  <si>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</si>
  <si>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</si>
  <si>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</si>
  <si>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</si>
  <si>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</si>
  <si>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</si>
  <si>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</si>
  <si>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</si>
  <si>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</si>
  <si>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</si>
  <si>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</si>
  <si>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</si>
  <si>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</si>
  <si>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</si>
  <si>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</si>
  <si>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</si>
  <si>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</si>
  <si>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</si>
  <si>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</si>
  <si>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</si>
  <si>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</si>
  <si>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</si>
  <si>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</si>
  <si>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</si>
  <si>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</si>
  <si>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</si>
  <si>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</si>
  <si>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</si>
  <si>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</si>
  <si>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</si>
  <si>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</si>
  <si>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</si>
  <si>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</si>
  <si>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</si>
  <si>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</si>
  <si>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</si>
  <si>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</si>
  <si>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</si>
  <si>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</si>
  <si>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</si>
  <si>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</si>
  <si>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</si>
  <si>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</si>
  <si>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</si>
  <si>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</si>
  <si>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</si>
  <si>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</si>
  <si>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</si>
  <si>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</si>
  <si>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</si>
  <si>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</si>
  <si>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</si>
  <si>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</si>
  <si>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</si>
  <si>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</si>
  <si>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</si>
  <si>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</si>
  <si>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</si>
  <si>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</si>
  <si>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</si>
  <si>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</si>
  <si>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</si>
  <si>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</si>
  <si>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</si>
  <si>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</si>
  <si>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</si>
  <si>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</si>
  <si>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</si>
  <si>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</si>
  <si>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</si>
  <si>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</si>
  <si>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</si>
  <si>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</si>
  <si>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</si>
  <si>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</si>
  <si>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</si>
  <si>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</si>
  <si>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</si>
  <si>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</si>
  <si>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</si>
  <si>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</si>
  <si>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</si>
  <si>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</si>
  <si>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</si>
  <si>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</si>
  <si>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</si>
  <si>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</si>
  <si>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</si>
  <si>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</si>
  <si>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</si>
  <si>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</si>
  <si>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</si>
  <si>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</si>
  <si>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</si>
  <si>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</si>
  <si>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</si>
  <si>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</si>
  <si>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</si>
  <si>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</si>
  <si>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</si>
  <si>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</si>
  <si>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</si>
  <si>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</si>
  <si>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</si>
  <si>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</si>
  <si>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</si>
  <si>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</si>
  <si>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</si>
  <si>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</si>
  <si>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</si>
  <si>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</si>
  <si>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</si>
  <si>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</si>
  <si>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</si>
  <si>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</si>
  <si>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</si>
  <si>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</si>
  <si>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</si>
  <si>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</si>
  <si>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</si>
  <si>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</si>
  <si>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</si>
  <si>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</si>
  <si>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</si>
  <si>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</si>
  <si>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</si>
  <si>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</si>
  <si>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</si>
  <si>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</si>
  <si>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</si>
  <si>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</si>
  <si>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</si>
  <si>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</si>
  <si>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</si>
  <si>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</si>
  <si>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</si>
  <si>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</si>
  <si>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</si>
  <si>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</si>
  <si>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</si>
  <si>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</si>
  <si>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</si>
  <si>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</si>
  <si>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</si>
  <si>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</si>
  <si>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</si>
  <si>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</si>
  <si>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</si>
  <si>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</si>
  <si>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</si>
  <si>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</si>
  <si>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</si>
  <si>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</si>
  <si>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</si>
  <si>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</si>
  <si>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</si>
  <si>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</si>
  <si>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</si>
  <si>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</si>
  <si>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</si>
  <si>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</si>
  <si>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</si>
  <si>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</si>
  <si>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</si>
  <si>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</si>
  <si>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</si>
  <si>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</si>
  <si>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</si>
  <si>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</si>
  <si>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</si>
  <si>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</si>
  <si>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</si>
  <si>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</si>
  <si>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</si>
  <si>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</si>
  <si>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</si>
  <si>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</si>
  <si>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</si>
  <si>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</si>
  <si>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</si>
  <si>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</si>
  <si>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</si>
  <si>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</si>
  <si>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</si>
  <si>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</si>
  <si>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</si>
  <si>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</si>
  <si>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</si>
  <si>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</si>
  <si>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</si>
  <si>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</si>
  <si>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</si>
  <si>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</si>
  <si>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</si>
  <si>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</si>
  <si>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</si>
  <si>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</si>
  <si>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</si>
  <si>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</si>
  <si>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</si>
  <si>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</si>
  <si>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</si>
  <si>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</si>
  <si>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</si>
  <si>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</si>
  <si>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</si>
  <si>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</si>
  <si>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</si>
  <si>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</si>
  <si>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</si>
  <si>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</si>
  <si>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</si>
  <si>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</si>
  <si>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</si>
  <si>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</si>
  <si>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</si>
  <si>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</si>
  <si>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</si>
  <si>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</si>
  <si>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</si>
  <si>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</si>
  <si>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</si>
  <si>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</si>
  <si>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</si>
  <si>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</si>
  <si>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</si>
  <si>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</si>
  <si>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</si>
  <si>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</si>
  <si>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</si>
  <si>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</si>
  <si>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</si>
  <si>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</si>
  <si>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</si>
  <si>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</si>
  <si>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</si>
  <si>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</si>
  <si>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</si>
  <si>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</si>
  <si>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</si>
  <si>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</si>
  <si>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</si>
  <si>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</si>
  <si>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</si>
  <si>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</si>
  <si>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</si>
  <si>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</si>
  <si>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</si>
  <si>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</si>
  <si>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</si>
  <si>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</si>
  <si>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</si>
  <si>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</si>
  <si>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</si>
  <si>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</si>
  <si>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</si>
  <si>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</si>
  <si>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</si>
  <si>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</si>
  <si>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</si>
  <si>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</si>
  <si>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</si>
  <si>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</si>
  <si>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</si>
  <si>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</si>
  <si>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</si>
  <si>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</si>
  <si>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</si>
  <si>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</si>
  <si>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</si>
  <si>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</si>
  <si>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</si>
  <si>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</si>
  <si>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</si>
  <si>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</si>
  <si>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</si>
  <si>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</si>
  <si>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</si>
  <si>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</si>
  <si>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</si>
  <si>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</si>
  <si>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</si>
  <si>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</si>
  <si>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</si>
  <si>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</si>
  <si>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</si>
  <si>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</si>
  <si>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</si>
  <si>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</si>
  <si>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</si>
  <si>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</si>
  <si>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</si>
  <si>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</si>
  <si>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</si>
  <si>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</si>
  <si>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</si>
  <si>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</si>
  <si>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</si>
  <si>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</si>
  <si>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</si>
  <si>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</si>
  <si>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</si>
  <si>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</si>
  <si>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</si>
  <si>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</si>
  <si>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</si>
  <si>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</si>
  <si>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</si>
  <si>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</si>
  <si>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</si>
  <si>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</si>
  <si>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</si>
  <si>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</si>
  <si>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</si>
  <si>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</si>
  <si>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</si>
  <si>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</si>
  <si>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</si>
  <si>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</si>
  <si>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</si>
  <si>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</si>
  <si>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</si>
  <si>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</si>
  <si>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</si>
  <si>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</si>
  <si>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</si>
  <si>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</si>
  <si>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</si>
  <si>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</si>
  <si>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</si>
  <si>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</si>
  <si>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</si>
  <si>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</si>
  <si>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</si>
  <si>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</si>
  <si>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</si>
  <si>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</si>
  <si>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</si>
  <si>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</si>
  <si>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</si>
  <si>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</si>
  <si>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</si>
  <si>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</si>
  <si>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</si>
  <si>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</si>
  <si>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</si>
  <si>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</si>
  <si>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</si>
  <si>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</si>
  <si>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</si>
  <si>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</si>
  <si>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</si>
  <si>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</si>
  <si>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</si>
  <si>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</si>
  <si>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</si>
  <si>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</si>
  <si>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</si>
  <si>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</si>
  <si>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</si>
  <si>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</si>
  <si>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</si>
  <si>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</si>
  <si>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</si>
  <si>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</si>
  <si>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</si>
  <si>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</si>
  <si>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</si>
  <si>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</si>
  <si>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</si>
  <si>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</si>
  <si>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</si>
  <si>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</si>
  <si>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</si>
  <si>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</si>
  <si>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</si>
  <si>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</si>
  <si>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</si>
  <si>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</si>
  <si>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</si>
  <si>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</si>
  <si>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</si>
  <si>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</si>
  <si>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</si>
  <si>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</si>
  <si>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</si>
  <si>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</si>
  <si>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</si>
  <si>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</si>
  <si>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</si>
  <si>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</si>
  <si>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</si>
  <si>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</si>
  <si>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</si>
  <si>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</si>
  <si>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</si>
  <si>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</si>
  <si>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</si>
  <si>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</si>
  <si>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</si>
  <si>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</si>
  <si>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</si>
  <si>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</si>
  <si>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</si>
  <si>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</si>
  <si>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</si>
  <si>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</si>
  <si>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</si>
  <si>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</si>
  <si>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</si>
  <si>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</si>
  <si>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</si>
  <si>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</si>
  <si>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</si>
  <si>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</si>
  <si>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</si>
  <si>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</si>
  <si>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</si>
  <si>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</si>
  <si>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</si>
  <si>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</si>
  <si>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</si>
  <si>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</si>
  <si>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</si>
  <si>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</si>
  <si>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</si>
  <si>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</si>
  <si>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</si>
  <si>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</si>
  <si>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</si>
  <si>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</si>
  <si>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</si>
  <si>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</si>
  <si>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</si>
  <si>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</si>
  <si>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</si>
  <si>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</si>
  <si>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</si>
  <si>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</si>
  <si>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</si>
  <si>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</si>
  <si>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</si>
  <si>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</si>
  <si>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</si>
  <si>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</si>
  <si>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</si>
  <si>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</si>
  <si>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</si>
  <si>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</si>
  <si>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</si>
  <si>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</si>
  <si>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</si>
  <si>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</si>
  <si>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</si>
  <si>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</si>
  <si>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</si>
  <si>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</si>
  <si>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</si>
  <si>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</si>
  <si>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</si>
  <si>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</si>
  <si>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</si>
  <si>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</si>
  <si>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</si>
  <si>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</si>
  <si>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</si>
  <si>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</si>
  <si>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</si>
  <si>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</si>
  <si>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</si>
  <si>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</si>
  <si>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</si>
  <si>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</si>
  <si>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</si>
  <si>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</si>
  <si>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</si>
  <si>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</si>
  <si>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</si>
  <si>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</si>
  <si>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</si>
  <si>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</si>
  <si>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</si>
  <si>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</si>
  <si>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</si>
  <si>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</si>
  <si>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</si>
  <si>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</si>
  <si>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</si>
  <si>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</si>
  <si>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</si>
  <si>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</si>
  <si>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</si>
  <si>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</si>
  <si>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</si>
  <si>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</si>
  <si>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</si>
  <si>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</si>
  <si>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</si>
  <si>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</si>
  <si>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</si>
  <si>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</si>
  <si>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</si>
  <si>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</si>
  <si>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</si>
  <si>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</si>
  <si>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</si>
  <si>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</si>
  <si>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</si>
  <si>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</si>
  <si>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</si>
  <si>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</si>
  <si>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</si>
  <si>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</si>
  <si>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</si>
  <si>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</si>
  <si>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</si>
  <si>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</si>
  <si>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</si>
  <si>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</si>
  <si>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</si>
  <si>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</si>
  <si>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</si>
  <si>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</si>
  <si>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</si>
  <si>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</si>
  <si>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</si>
  <si>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</si>
  <si>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</si>
  <si>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</si>
  <si>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</si>
  <si>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</si>
  <si>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</si>
  <si>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</si>
  <si>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</si>
  <si>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</si>
  <si>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</si>
  <si>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</si>
  <si>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</si>
  <si>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</si>
  <si>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</si>
  <si>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</si>
  <si>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</si>
  <si>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</si>
  <si>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</si>
  <si>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</si>
  <si>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</si>
  <si>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</si>
  <si>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</si>
  <si>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</si>
  <si>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</si>
  <si>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</si>
  <si>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</si>
  <si>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</si>
  <si>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</si>
  <si>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</si>
  <si>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</si>
  <si>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</si>
  <si>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</si>
  <si>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</si>
  <si>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</si>
  <si>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</si>
  <si>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</si>
  <si>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</si>
  <si>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</si>
  <si>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</si>
  <si>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</si>
  <si>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</si>
  <si>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</si>
  <si>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</si>
  <si>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</si>
  <si>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</si>
  <si>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</si>
  <si>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</si>
  <si>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</si>
  <si>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</si>
  <si>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</si>
  <si>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</si>
  <si>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</si>
  <si>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</si>
  <si>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</si>
  <si>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</si>
  <si>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</si>
  <si>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</si>
  <si>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</si>
  <si>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</si>
  <si>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</si>
  <si>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</si>
  <si>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</si>
  <si>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</si>
  <si>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</si>
  <si>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</si>
  <si>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</si>
  <si>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</si>
  <si>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</si>
  <si>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</si>
  <si>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</si>
  <si>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</si>
  <si>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</si>
  <si>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</si>
  <si>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</si>
  <si>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</si>
  <si>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</si>
  <si>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</si>
  <si>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</si>
  <si>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</si>
  <si>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</si>
  <si>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</si>
  <si>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</si>
  <si>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</si>
  <si>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</si>
  <si>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</si>
  <si>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</si>
  <si>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</si>
  <si>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</si>
  <si>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</si>
  <si>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</si>
  <si>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</si>
  <si>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</si>
  <si>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</si>
  <si>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</si>
  <si>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</si>
  <si>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</si>
  <si>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</si>
  <si>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</si>
  <si>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</si>
  <si>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</si>
  <si>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</si>
  <si>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</si>
  <si>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</si>
  <si>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</si>
  <si>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</si>
  <si>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</si>
  <si>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</si>
  <si>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</si>
  <si>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</si>
  <si>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</si>
  <si>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</si>
  <si>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</si>
  <si>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</si>
  <si>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</si>
  <si>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</si>
  <si>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</si>
  <si>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</si>
  <si>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</si>
  <si>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</si>
  <si>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</si>
  <si>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</si>
  <si>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</si>
  <si>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</si>
  <si>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</si>
  <si>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</si>
  <si>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</si>
  <si>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</si>
  <si>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</si>
  <si>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</si>
  <si>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</si>
  <si>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</si>
  <si>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</si>
  <si>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</si>
  <si>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</si>
  <si>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</si>
  <si>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</si>
  <si>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</si>
  <si>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</si>
  <si>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</si>
  <si>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</si>
  <si>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</si>
  <si>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</si>
  <si>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</si>
  <si>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</si>
  <si>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</si>
  <si>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</si>
  <si>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</si>
  <si>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</si>
  <si>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</si>
  <si>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</si>
  <si>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</si>
  <si>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</si>
  <si>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</si>
  <si>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</si>
  <si>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</si>
  <si>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</si>
  <si>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</si>
  <si>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</si>
  <si>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</si>
  <si>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</si>
  <si>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</si>
  <si>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</si>
  <si>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</si>
  <si>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</si>
  <si>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</si>
  <si>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</si>
  <si>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</si>
  <si>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</si>
  <si>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</si>
  <si>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</si>
  <si>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</si>
  <si>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</si>
  <si>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</si>
  <si>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</si>
  <si>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</si>
  <si>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</si>
  <si>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</si>
  <si>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</si>
  <si>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</si>
  <si>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</si>
  <si>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</si>
  <si>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</si>
  <si>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</si>
  <si>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</si>
  <si>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</si>
  <si>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</si>
  <si>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</si>
  <si>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</si>
  <si>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</si>
  <si>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</si>
  <si>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</si>
  <si>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</si>
  <si>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</si>
  <si>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</si>
  <si>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</si>
  <si>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</si>
  <si>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</si>
  <si>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</si>
  <si>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</si>
  <si>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</si>
  <si>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</si>
  <si>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</si>
  <si>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</si>
  <si>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</si>
  <si>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</si>
  <si>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</si>
  <si>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</si>
  <si>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</si>
  <si>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</si>
  <si>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</si>
  <si>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</si>
  <si>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</si>
  <si>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</si>
  <si>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</si>
  <si>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</si>
  <si>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</si>
  <si>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</si>
  <si>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</si>
  <si>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</si>
  <si>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</si>
  <si>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</si>
  <si>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</si>
  <si>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</si>
  <si>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</si>
  <si>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</si>
  <si>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</si>
  <si>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</si>
  <si>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</si>
  <si>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</si>
  <si>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</si>
  <si>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</si>
  <si>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</si>
  <si>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</si>
  <si>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</si>
  <si>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</si>
  <si>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</si>
  <si>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</si>
  <si>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</si>
  <si>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</si>
  <si>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</si>
  <si>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</si>
  <si>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</si>
  <si>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</si>
  <si>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</si>
  <si>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</si>
  <si>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</si>
  <si>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</si>
  <si>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</si>
  <si>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</si>
  <si>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</si>
  <si>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</si>
  <si>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</si>
  <si>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</si>
  <si>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</si>
  <si>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</si>
  <si>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</si>
  <si>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</si>
  <si>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</si>
  <si>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</si>
  <si>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</si>
  <si>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</si>
  <si>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</si>
  <si>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</si>
  <si>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</si>
  <si>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</si>
  <si>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</si>
  <si>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</si>
  <si>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</si>
  <si>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</si>
  <si>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</si>
  <si>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</si>
  <si>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</si>
  <si>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</si>
  <si>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</si>
  <si>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</si>
  <si>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</si>
  <si>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</si>
  <si>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</si>
  <si>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</si>
  <si>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</si>
  <si>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</si>
  <si>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</si>
  <si>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</si>
  <si>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</si>
  <si>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</si>
  <si>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</si>
  <si>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</si>
  <si>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</si>
  <si>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</si>
  <si>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</si>
  <si>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</si>
  <si>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</si>
  <si>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</si>
  <si>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</si>
  <si>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</si>
  <si>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</si>
  <si>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</si>
  <si>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</si>
  <si>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</si>
  <si>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</si>
  <si>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</si>
  <si>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</si>
  <si>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</si>
  <si>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</si>
  <si>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</si>
  <si>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</si>
  <si>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</si>
  <si>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</si>
  <si>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</si>
  <si>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</si>
  <si>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</si>
  <si>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</si>
  <si>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</si>
  <si>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</si>
  <si>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</si>
  <si>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</si>
  <si>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</si>
  <si>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</si>
  <si>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</si>
  <si>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</si>
  <si>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</si>
  <si>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</si>
  <si>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</si>
  <si>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</si>
  <si>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</si>
  <si>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</si>
  <si>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</si>
  <si>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</si>
  <si>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</si>
  <si>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</si>
  <si>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</si>
  <si>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</si>
  <si>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</si>
  <si>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</si>
  <si>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</si>
  <si>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</si>
  <si>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</si>
  <si>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</si>
  <si>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</si>
  <si>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</si>
  <si>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</si>
  <si>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</si>
  <si>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</si>
  <si>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</si>
  <si>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</si>
  <si>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</si>
  <si>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</si>
  <si>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</si>
  <si>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</si>
  <si>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</si>
  <si>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</si>
  <si>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</si>
  <si>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</si>
  <si>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</si>
  <si>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</si>
  <si>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</si>
  <si>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</si>
  <si>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</si>
  <si>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</si>
  <si>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</si>
  <si>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</si>
  <si>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</si>
  <si>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</si>
  <si>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</si>
  <si>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</si>
  <si>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</si>
  <si>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</si>
  <si>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</si>
  <si>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</si>
  <si>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</si>
  <si>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</si>
  <si>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</si>
  <si>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</si>
  <si>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</si>
  <si>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</si>
  <si>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</si>
  <si>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</si>
  <si>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</si>
  <si>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</si>
  <si>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</si>
  <si>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</si>
  <si>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</si>
  <si>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</si>
  <si>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</si>
  <si>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</si>
  <si>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</si>
  <si>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</si>
  <si>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</si>
  <si>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</si>
  <si>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</si>
  <si>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</si>
  <si>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</si>
  <si>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</si>
  <si>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</si>
  <si>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</si>
  <si>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</si>
  <si>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</si>
  <si>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</si>
  <si>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</si>
  <si>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</si>
  <si>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</si>
  <si>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</si>
  <si>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</si>
  <si>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</si>
  <si>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</si>
  <si>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</si>
  <si>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</si>
  <si>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</si>
  <si>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</si>
  <si>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</si>
  <si>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</si>
  <si>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</si>
  <si>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</si>
  <si>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</si>
  <si>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</si>
  <si>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</si>
  <si>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</si>
  <si>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</si>
  <si>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</si>
  <si>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</si>
  <si>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</si>
  <si>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</si>
  <si>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</si>
  <si>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</si>
  <si>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</si>
  <si>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</si>
  <si>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</si>
  <si>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</si>
  <si>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</si>
  <si>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</si>
  <si>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</si>
  <si>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</si>
  <si>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</si>
  <si>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</si>
  <si>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</si>
  <si>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</si>
  <si>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</si>
  <si>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</si>
  <si>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</si>
  <si>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</si>
  <si>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</si>
  <si>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</si>
  <si>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</si>
  <si>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</si>
  <si>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</si>
  <si>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</si>
  <si>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</si>
  <si>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</si>
  <si>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</si>
  <si>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</si>
  <si>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</si>
  <si>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</si>
  <si>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</si>
  <si>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</si>
  <si>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</si>
  <si>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</si>
  <si>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</si>
  <si>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</si>
  <si>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</si>
  <si>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</si>
  <si>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</si>
  <si>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</si>
  <si>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</si>
  <si>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</si>
  <si>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</si>
  <si>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</si>
  <si>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</si>
  <si>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</si>
  <si>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</si>
  <si>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</si>
  <si>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</si>
  <si>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</si>
  <si>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</si>
  <si>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</si>
  <si>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</si>
  <si>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</si>
  <si>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</si>
  <si>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</si>
  <si>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</si>
  <si>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</si>
  <si>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</si>
  <si>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</si>
  <si>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</si>
  <si>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</si>
  <si>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</si>
  <si>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</si>
  <si>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</si>
  <si>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</si>
  <si>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</si>
  <si>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</si>
  <si>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</si>
  <si>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</si>
  <si>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</si>
  <si>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</si>
  <si>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</si>
  <si>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</si>
  <si>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</si>
  <si>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</si>
  <si>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</si>
  <si>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</si>
  <si>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</si>
  <si>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</si>
  <si>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</si>
  <si>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</si>
  <si>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</si>
  <si>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</si>
  <si>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</si>
  <si>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</si>
  <si>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</si>
  <si>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</si>
  <si>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</si>
  <si>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</si>
  <si>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</si>
  <si>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</si>
  <si>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</si>
  <si>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</si>
  <si>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</si>
  <si>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</si>
  <si>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</si>
  <si>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</si>
  <si>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</si>
  <si>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</si>
  <si>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</si>
  <si>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</si>
  <si>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</si>
  <si>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</si>
  <si>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</si>
  <si>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</si>
  <si>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</si>
  <si>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</si>
  <si>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</si>
  <si>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</si>
  <si>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</si>
  <si>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</si>
  <si>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</si>
  <si>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</si>
  <si>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</si>
  <si>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</si>
  <si>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</si>
  <si>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</si>
  <si>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</si>
  <si>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</si>
  <si>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</si>
  <si>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</si>
  <si>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</si>
  <si>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</si>
  <si>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</si>
  <si>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</si>
  <si>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</si>
  <si>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</si>
  <si>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</si>
  <si>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</si>
  <si>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</si>
  <si>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</si>
  <si>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</si>
  <si>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</si>
  <si>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</si>
  <si>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</si>
  <si>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</si>
  <si>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</si>
  <si>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</si>
  <si>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</si>
  <si>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</si>
  <si>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</si>
  <si>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</si>
  <si>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</si>
  <si>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</si>
  <si>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</si>
  <si>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</si>
  <si>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</si>
  <si>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</si>
  <si>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</si>
  <si>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</si>
  <si>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</si>
  <si>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</si>
  <si>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</si>
  <si>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</si>
  <si>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</si>
  <si>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</si>
  <si>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</si>
  <si>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</si>
  <si>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</si>
  <si>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</si>
  <si>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</si>
  <si>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</si>
  <si>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</si>
  <si>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</si>
  <si>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</si>
  <si>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</si>
  <si>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</si>
  <si>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</si>
  <si>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</si>
  <si>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</si>
  <si>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</si>
  <si>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</si>
  <si>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</si>
  <si>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</si>
  <si>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</si>
  <si>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</si>
  <si>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</si>
  <si>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</si>
  <si>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</si>
  <si>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</si>
  <si>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</si>
  <si>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</si>
  <si>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</si>
  <si>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</si>
  <si>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</si>
  <si>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</si>
  <si>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</si>
  <si>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</si>
  <si>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</si>
  <si>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</si>
  <si>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</si>
  <si>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</si>
  <si>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</si>
  <si>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</si>
  <si>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</si>
  <si>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</si>
  <si>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</si>
  <si>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</si>
  <si>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</si>
  <si>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</si>
  <si>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</si>
  <si>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</si>
  <si>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</si>
  <si>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</si>
  <si>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</si>
  <si>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</si>
  <si>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</si>
  <si>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</si>
  <si>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</si>
  <si>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</si>
  <si>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</si>
  <si>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</si>
  <si>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</si>
  <si>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</si>
  <si>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</si>
  <si>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</si>
  <si>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</si>
  <si>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</si>
  <si>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</si>
  <si>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</si>
  <si>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</si>
  <si>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</si>
  <si>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</si>
  <si>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</si>
  <si>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</si>
  <si>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</si>
  <si>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</si>
  <si>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</si>
  <si>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</si>
  <si>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</si>
  <si>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</si>
  <si>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</si>
  <si>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</si>
  <si>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</si>
  <si>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</si>
  <si>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</si>
  <si>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</si>
  <si>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</si>
  <si>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</si>
  <si>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</si>
  <si>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</si>
  <si>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</si>
  <si>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</si>
  <si>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</si>
  <si>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</si>
  <si>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</si>
  <si>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</si>
  <si>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</si>
  <si>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</si>
  <si>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</si>
  <si>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</si>
  <si>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</si>
  <si>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</si>
  <si>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</si>
  <si>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</si>
  <si>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</si>
  <si>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</si>
  <si>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</si>
  <si>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</si>
  <si>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</si>
  <si>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</si>
  <si>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</si>
  <si>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</si>
  <si>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</si>
  <si>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</si>
  <si>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</si>
  <si>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</si>
  <si>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</si>
  <si>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</si>
  <si>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</si>
  <si>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</si>
  <si>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</si>
  <si>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</si>
  <si>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</si>
  <si>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</si>
  <si>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</si>
  <si>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</si>
  <si>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</si>
  <si>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</si>
  <si>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</si>
  <si>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</si>
  <si>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</si>
  <si>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</si>
  <si>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</si>
  <si>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</si>
  <si>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</si>
  <si>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</si>
  <si>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</si>
  <si>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</si>
  <si>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</si>
  <si>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</si>
  <si>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</si>
  <si>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</si>
  <si>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</si>
  <si>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</si>
  <si>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</si>
  <si>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</si>
  <si>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</si>
  <si>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</si>
  <si>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</si>
  <si>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</si>
  <si>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</si>
  <si>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</si>
  <si>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</si>
  <si>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</si>
  <si>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</si>
  <si>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</si>
  <si>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</si>
  <si>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</si>
  <si>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</si>
  <si>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</si>
  <si>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</si>
  <si>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</si>
  <si>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</si>
  <si>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</si>
  <si>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</si>
  <si>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</si>
  <si>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</si>
  <si>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</si>
  <si>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</si>
  <si>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</si>
  <si>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</si>
  <si>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</si>
  <si>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</si>
  <si>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</si>
  <si>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</si>
  <si>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</si>
  <si>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</si>
  <si>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</si>
  <si>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</si>
  <si>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</si>
  <si>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</si>
  <si>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</si>
  <si>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</si>
  <si>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</si>
  <si>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</si>
  <si>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</si>
  <si>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</si>
  <si>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</si>
  <si>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</si>
  <si>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</si>
  <si>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</si>
  <si>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</si>
  <si>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</si>
  <si>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</si>
  <si>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</si>
  <si>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</si>
  <si>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</si>
  <si>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</si>
  <si>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</si>
  <si>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</si>
  <si>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</si>
  <si>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</si>
  <si>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</si>
  <si>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</si>
  <si>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</si>
  <si>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</si>
  <si>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</si>
  <si>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</si>
  <si>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</si>
  <si>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</si>
  <si>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</si>
  <si>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</si>
  <si>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</si>
  <si>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</si>
  <si>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</si>
  <si>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</si>
  <si>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</si>
  <si>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</si>
  <si>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</si>
  <si>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</si>
  <si>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</si>
  <si>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</si>
  <si>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</si>
  <si>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</si>
  <si>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</si>
  <si>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</si>
  <si>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</si>
  <si>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</si>
  <si>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</si>
  <si>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</si>
  <si>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</si>
  <si>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</si>
  <si>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</si>
  <si>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</si>
  <si>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</si>
  <si>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</si>
  <si>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</si>
  <si>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</si>
  <si>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</si>
  <si>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</si>
  <si>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</si>
  <si>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</si>
  <si>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</si>
  <si>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</si>
  <si>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</si>
  <si>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</si>
  <si>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</si>
  <si>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</si>
  <si>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</si>
  <si>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</si>
  <si>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</si>
  <si>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</si>
  <si>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</si>
  <si>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</si>
  <si>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</si>
  <si>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</si>
  <si>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</si>
  <si>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</si>
  <si>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</si>
  <si>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</si>
  <si>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</si>
  <si>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</si>
  <si>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</si>
  <si>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</si>
  <si>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</si>
  <si>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</si>
  <si>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</si>
  <si>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</si>
  <si>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</si>
  <si>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</si>
  <si>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</si>
  <si>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</si>
  <si>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</si>
  <si>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</si>
  <si>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</si>
  <si>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</si>
  <si>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</si>
  <si>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</si>
  <si>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</si>
  <si>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</si>
  <si>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</si>
  <si>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</si>
  <si>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</si>
  <si>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</si>
  <si>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</si>
  <si>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</si>
  <si>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</si>
  <si>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</si>
  <si>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</si>
  <si>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</si>
  <si>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</si>
  <si>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</si>
  <si>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</si>
  <si>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</si>
  <si>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</si>
  <si>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</si>
  <si>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</si>
  <si>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</si>
  <si>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</si>
  <si>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</si>
  <si>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</si>
  <si>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</si>
  <si>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</si>
  <si>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</si>
  <si>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</si>
  <si>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</si>
  <si>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</si>
  <si>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</si>
  <si>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</si>
  <si>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</si>
  <si>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</si>
  <si>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</si>
  <si>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</si>
  <si>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</si>
  <si>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</si>
  <si>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</si>
  <si>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</si>
  <si>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</si>
  <si>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</si>
  <si>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</si>
  <si>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</si>
  <si>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</si>
  <si>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</si>
  <si>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</si>
  <si>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</si>
  <si>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</si>
  <si>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</si>
  <si>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</si>
  <si>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</si>
  <si>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</si>
  <si>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</si>
  <si>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</si>
  <si>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</si>
  <si>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</si>
  <si>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</si>
  <si>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</si>
  <si>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</si>
  <si>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</si>
  <si>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</si>
  <si>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</si>
  <si>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</si>
  <si>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</si>
  <si>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</si>
  <si>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</si>
  <si>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</si>
  <si>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</si>
  <si>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</si>
  <si>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</si>
  <si>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</si>
  <si>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</si>
  <si>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</si>
  <si>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</si>
  <si>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</si>
  <si>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</si>
  <si>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</si>
  <si>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</si>
  <si>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</si>
  <si>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</si>
  <si>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</si>
  <si>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</si>
  <si>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</si>
  <si>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</si>
  <si>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</si>
  <si>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</si>
  <si>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</si>
  <si>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</si>
  <si>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</si>
  <si>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</si>
  <si>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</si>
  <si>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</si>
  <si>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</si>
  <si>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</si>
  <si>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</si>
  <si>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</si>
  <si>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</si>
  <si>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</si>
  <si>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</si>
  <si>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</si>
  <si>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</si>
  <si>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</si>
  <si>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</si>
  <si>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</si>
  <si>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</si>
  <si>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</si>
  <si>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</si>
  <si>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</si>
  <si>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</si>
  <si>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</si>
  <si>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</si>
  <si>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</si>
  <si>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</si>
  <si>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</si>
  <si>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</si>
  <si>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</si>
  <si>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</si>
  <si>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</si>
  <si>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</si>
  <si>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</si>
  <si>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</si>
  <si>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</si>
  <si>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</si>
  <si>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</si>
  <si>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</si>
  <si>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</si>
  <si>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</si>
  <si>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</si>
  <si>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</si>
  <si>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</si>
  <si>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</si>
  <si>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</si>
  <si>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</si>
  <si>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</si>
  <si>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</si>
  <si>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</si>
  <si>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</si>
  <si>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</si>
  <si>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</si>
  <si>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</si>
  <si>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</si>
  <si>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</si>
  <si>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</si>
  <si>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</si>
  <si>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</si>
  <si>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</si>
  <si>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</si>
  <si>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</si>
  <si>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</si>
  <si>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</si>
  <si>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</si>
  <si>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</si>
  <si>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</si>
  <si>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</si>
  <si>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</si>
  <si>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</si>
  <si>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</si>
  <si>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</si>
  <si>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</si>
  <si>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</si>
  <si>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</si>
  <si>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</si>
  <si>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</si>
  <si>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</si>
  <si>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</si>
  <si>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</si>
  <si>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</si>
  <si>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</si>
  <si>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</si>
  <si>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</si>
  <si>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</si>
  <si>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</si>
  <si>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</si>
  <si>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</si>
  <si>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</si>
  <si>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</si>
  <si>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</si>
  <si>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</si>
  <si>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</si>
  <si>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</si>
  <si>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</si>
  <si>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</si>
  <si>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</si>
  <si>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</si>
  <si>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</si>
  <si>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</si>
  <si>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</si>
  <si>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</si>
  <si>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</si>
  <si>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</si>
  <si>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</si>
  <si>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</si>
  <si>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</si>
  <si>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</si>
  <si>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</si>
  <si>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</si>
  <si>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</si>
  <si>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</si>
  <si>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</si>
  <si>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</si>
  <si>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</si>
  <si>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</si>
  <si>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</si>
  <si>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</si>
  <si>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</si>
  <si>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</si>
  <si>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</si>
  <si>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</si>
  <si>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</si>
  <si>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</si>
  <si>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</si>
  <si>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</si>
  <si>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</si>
  <si>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</si>
  <si>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</si>
  <si>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</si>
  <si>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</si>
  <si>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</si>
  <si>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</si>
  <si>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</si>
  <si>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</si>
  <si>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</si>
  <si>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</si>
  <si>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</si>
  <si>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</si>
  <si>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</si>
  <si>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</si>
  <si>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</si>
  <si>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</si>
  <si>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</si>
  <si>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</si>
  <si>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</si>
  <si>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</si>
  <si>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</si>
  <si>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</si>
  <si>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</si>
  <si>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</si>
  <si>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</si>
  <si>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</si>
  <si>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</si>
  <si>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</si>
  <si>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</si>
  <si>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</si>
  <si>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</si>
  <si>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</si>
  <si>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</si>
  <si>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</si>
  <si>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</si>
  <si>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</si>
  <si>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</si>
  <si>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</si>
  <si>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</si>
  <si>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</si>
  <si>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</si>
  <si>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</si>
  <si>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</si>
  <si>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</si>
  <si>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</si>
  <si>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</si>
  <si>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</si>
  <si>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</si>
  <si>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</si>
  <si>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</si>
  <si>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</si>
  <si>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</si>
  <si>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</si>
  <si>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</si>
  <si>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</si>
  <si>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</si>
  <si>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</si>
  <si>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</si>
  <si>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</si>
  <si>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</si>
  <si>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</si>
  <si>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</si>
  <si>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</si>
  <si>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</si>
  <si>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</si>
  <si>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</si>
  <si>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</si>
  <si>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</si>
  <si>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</si>
  <si>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</si>
  <si>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</si>
  <si>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</si>
  <si>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</si>
  <si>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</si>
  <si>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</si>
  <si>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</si>
  <si>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</si>
  <si>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</si>
  <si>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</si>
  <si>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</si>
  <si>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</si>
  <si>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</si>
  <si>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</si>
  <si>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</si>
  <si>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</si>
  <si>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</si>
  <si>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</si>
  <si>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</si>
  <si>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</si>
  <si>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</si>
  <si>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</si>
  <si>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</si>
  <si>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</si>
  <si>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</si>
  <si>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</si>
  <si>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</si>
  <si>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</si>
  <si>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</si>
  <si>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</si>
  <si>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</si>
  <si>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</si>
  <si>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</si>
  <si>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</si>
  <si>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</si>
  <si>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</si>
  <si>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</si>
  <si>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</si>
  <si>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</si>
  <si>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</si>
  <si>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</si>
  <si>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</si>
  <si>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</si>
  <si>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</si>
  <si>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</si>
  <si>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</si>
  <si>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</si>
  <si>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</si>
  <si>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</si>
  <si>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</si>
  <si>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</si>
  <si>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</si>
  <si>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</si>
  <si>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</si>
  <si>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</si>
  <si>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</si>
  <si>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</si>
  <si>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</si>
  <si>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</si>
  <si>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</si>
  <si>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</si>
  <si>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</si>
  <si>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</si>
  <si>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</si>
  <si>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</si>
  <si>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</si>
  <si>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</si>
  <si>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</si>
  <si>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</si>
  <si>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</si>
  <si>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</si>
  <si>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</si>
  <si>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</si>
  <si>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</si>
  <si>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</si>
  <si>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</si>
  <si>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</si>
  <si>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</si>
  <si>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</si>
  <si>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</si>
  <si>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</si>
  <si>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</si>
  <si>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</si>
  <si>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</si>
  <si>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</si>
  <si>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</si>
  <si>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</si>
  <si>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</si>
  <si>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</si>
  <si>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</si>
  <si>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</si>
  <si>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</si>
  <si>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</si>
  <si>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</si>
  <si>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</si>
  <si>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</si>
  <si>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</si>
  <si>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</si>
  <si>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</si>
  <si>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</si>
  <si>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</si>
  <si>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</si>
  <si>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</si>
  <si>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</si>
  <si>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</si>
  <si>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</si>
  <si>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</si>
  <si>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</si>
  <si>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</si>
  <si>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</si>
  <si>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</si>
  <si>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</si>
  <si>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</si>
  <si>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</si>
  <si>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</si>
  <si>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</si>
  <si>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</si>
  <si>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</si>
  <si>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</si>
  <si>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</si>
  <si>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</si>
  <si>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</si>
  <si>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</si>
  <si>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</si>
  <si>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</si>
  <si>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</si>
  <si>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</si>
  <si>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</si>
  <si>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</si>
  <si>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</si>
  <si>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</si>
  <si>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</si>
  <si>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</si>
  <si>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</si>
  <si>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</si>
  <si>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</si>
  <si>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</si>
  <si>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</si>
  <si>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</si>
  <si>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</si>
  <si>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</si>
  <si>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</si>
  <si>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</si>
  <si>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</si>
  <si>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</si>
  <si>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</si>
  <si>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</si>
  <si>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</si>
  <si>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</si>
  <si>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</si>
  <si>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</si>
  <si>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</si>
  <si>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</si>
  <si>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</si>
  <si>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</si>
  <si>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</si>
  <si>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</si>
  <si>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</si>
  <si>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</si>
  <si>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</si>
  <si>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</si>
  <si>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</si>
  <si>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</si>
  <si>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</si>
  <si>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</si>
  <si>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</si>
  <si>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</si>
  <si>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</si>
  <si>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</si>
  <si>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</si>
  <si>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</si>
  <si>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</si>
  <si>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</si>
  <si>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</si>
  <si>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</si>
  <si>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</si>
  <si>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</si>
  <si>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</si>
  <si>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</si>
  <si>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</si>
  <si>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</si>
  <si>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</si>
  <si>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</si>
  <si>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</si>
  <si>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</si>
  <si>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</si>
  <si>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</si>
  <si>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</si>
  <si>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</si>
  <si>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</si>
  <si>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</si>
  <si>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</si>
  <si>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</si>
  <si>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</si>
  <si>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</si>
  <si>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</si>
  <si>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</si>
  <si>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</si>
  <si>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</si>
  <si>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</si>
  <si>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</si>
  <si>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</si>
  <si>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</si>
  <si>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</si>
  <si>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</si>
  <si>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</si>
  <si>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</si>
  <si>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</si>
  <si>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</si>
  <si>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</si>
  <si>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</si>
  <si>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</si>
  <si>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</si>
  <si>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</si>
  <si>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</si>
  <si>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</si>
  <si>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</si>
  <si>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</si>
  <si>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</si>
  <si>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</si>
  <si>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</si>
  <si>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</si>
  <si>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</si>
  <si>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</si>
  <si>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</si>
  <si>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</si>
  <si>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</si>
  <si>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</si>
  <si>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</si>
  <si>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</si>
  <si>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</si>
  <si>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</si>
  <si>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</si>
  <si>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</si>
  <si>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</si>
  <si>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</si>
  <si>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</si>
  <si>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</si>
  <si>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</si>
  <si>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</si>
  <si>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</si>
  <si>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</si>
  <si>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</si>
  <si>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</si>
  <si>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</si>
  <si>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</si>
  <si>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</si>
  <si>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</si>
  <si>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</si>
  <si>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</si>
  <si>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</si>
  <si>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</si>
  <si>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</si>
  <si>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</si>
  <si>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</si>
  <si>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</si>
  <si>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</si>
  <si>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</si>
  <si>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</si>
  <si>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</si>
  <si>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</si>
  <si>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</si>
  <si>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</si>
  <si>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</si>
  <si>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</si>
  <si>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</si>
  <si>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</si>
  <si>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</si>
  <si>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</si>
  <si>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</si>
  <si>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</si>
  <si>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</si>
  <si>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</si>
  <si>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</si>
  <si>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</si>
  <si>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</si>
  <si>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</si>
  <si>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</si>
  <si>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</si>
  <si>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</si>
  <si>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</si>
  <si>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</si>
  <si>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</si>
  <si>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</si>
  <si>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</si>
  <si>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</si>
  <si>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</si>
  <si>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</si>
  <si>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</si>
  <si>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</si>
  <si>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</si>
  <si>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</si>
  <si>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</si>
  <si>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</si>
  <si>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</si>
  <si>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</si>
  <si>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</si>
  <si>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</si>
  <si>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</si>
  <si>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</si>
  <si>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</si>
  <si>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</si>
  <si>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</si>
  <si>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</si>
  <si>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</si>
  <si>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</si>
  <si>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</si>
  <si>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</si>
  <si>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</si>
  <si>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</si>
  <si>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</si>
  <si>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</si>
  <si>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</si>
  <si>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</si>
  <si>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</si>
  <si>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</si>
  <si>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</si>
  <si>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</si>
  <si>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</si>
  <si>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</si>
  <si>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</si>
  <si>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</si>
  <si>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</si>
  <si>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</si>
  <si>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</si>
  <si>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</si>
  <si>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</si>
  <si>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</si>
  <si>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</si>
  <si>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</si>
  <si>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</si>
  <si>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</si>
  <si>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</si>
  <si>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</si>
  <si>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</si>
  <si>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</si>
  <si>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</si>
  <si>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</si>
  <si>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</si>
  <si>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</si>
  <si>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</si>
  <si>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</si>
  <si>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</si>
  <si>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</si>
  <si>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</si>
  <si>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</si>
  <si>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</si>
  <si>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</si>
  <si>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</si>
  <si>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</si>
  <si>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</si>
  <si>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</si>
  <si>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</si>
  <si>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</si>
  <si>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</si>
  <si>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</si>
  <si>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</si>
  <si>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</si>
  <si>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</si>
  <si>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</si>
  <si>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</si>
  <si>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</si>
  <si>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</si>
  <si>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</si>
  <si>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</si>
  <si>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</si>
  <si>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</si>
  <si>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</si>
  <si>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</si>
  <si>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</si>
  <si>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</si>
  <si>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</si>
  <si>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</si>
  <si>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</si>
  <si>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</si>
  <si>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</si>
  <si>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</si>
  <si>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</si>
  <si>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</si>
  <si>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</si>
  <si>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</si>
  <si>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</si>
  <si>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</si>
  <si>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</si>
  <si>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</si>
  <si>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</si>
  <si>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</si>
  <si>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</si>
  <si>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</si>
  <si>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</si>
  <si>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</si>
  <si>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</si>
  <si>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</si>
  <si>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</si>
  <si>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</si>
  <si>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</si>
  <si>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</si>
  <si>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</si>
  <si>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</si>
  <si>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</si>
  <si>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</si>
  <si>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</si>
  <si>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</si>
  <si>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</si>
  <si>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</si>
  <si>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</si>
  <si>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</si>
  <si>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</si>
  <si>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</si>
  <si>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</si>
  <si>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</si>
  <si>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</si>
  <si>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</si>
  <si>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</si>
  <si>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</si>
  <si>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</si>
  <si>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</si>
  <si>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</si>
  <si>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</si>
  <si>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</si>
  <si>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</si>
  <si>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</si>
  <si>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</si>
  <si>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</si>
  <si>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</si>
  <si>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</si>
  <si>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</si>
  <si>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</si>
  <si>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</si>
  <si>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</si>
  <si>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</si>
  <si>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</si>
  <si>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</si>
  <si>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</si>
  <si>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</si>
  <si>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</si>
  <si>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</si>
  <si>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</si>
  <si>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</si>
  <si>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</si>
  <si>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</si>
  <si>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</si>
  <si>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</si>
  <si>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</si>
  <si>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</si>
  <si>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</si>
  <si>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</si>
  <si>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</si>
  <si>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</si>
  <si>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</si>
  <si>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</si>
  <si>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</si>
  <si>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</si>
  <si>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</si>
  <si>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</si>
  <si>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</si>
  <si>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</si>
  <si>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</si>
  <si>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</si>
  <si>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</si>
  <si>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</si>
  <si>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</si>
  <si>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</si>
  <si>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</si>
  <si>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</si>
  <si>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</si>
  <si>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</si>
  <si>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</si>
  <si>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</si>
  <si>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</si>
  <si>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</si>
  <si>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</si>
  <si>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</si>
  <si>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</si>
  <si>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</si>
  <si>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</si>
  <si>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</si>
  <si>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</si>
  <si>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</si>
  <si>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</si>
  <si>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</si>
  <si>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</si>
  <si>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</si>
  <si>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</si>
  <si>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</si>
  <si>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</si>
  <si>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</si>
  <si>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</si>
  <si>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</si>
  <si>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</si>
  <si>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</si>
  <si>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</si>
  <si>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</si>
  <si>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</si>
  <si>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</si>
  <si>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</si>
  <si>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</si>
  <si>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</si>
  <si>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</si>
  <si>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</si>
  <si>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</si>
  <si>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</si>
  <si>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</si>
  <si>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</si>
  <si>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</si>
  <si>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</si>
  <si>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</si>
  <si>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</si>
  <si>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</si>
  <si>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</si>
  <si>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</si>
  <si>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</si>
  <si>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</si>
  <si>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</si>
  <si>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</si>
  <si>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</si>
  <si>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</si>
  <si>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</si>
  <si>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</si>
  <si>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</si>
  <si>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</si>
  <si>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</si>
  <si>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</si>
  <si>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</si>
  <si>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</si>
  <si>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</si>
  <si>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</si>
  <si>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</si>
  <si>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</si>
  <si>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</si>
  <si>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</si>
  <si>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</si>
  <si>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</si>
  <si>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</si>
  <si>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</si>
  <si>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</si>
  <si>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</si>
  <si>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</si>
  <si>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</si>
  <si>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</si>
  <si>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</si>
  <si>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</si>
  <si>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</si>
  <si>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</si>
  <si>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</si>
  <si>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</si>
  <si>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</si>
  <si>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</si>
  <si>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</si>
  <si>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</si>
  <si>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</si>
  <si>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</si>
  <si>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</si>
  <si>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</si>
  <si>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</si>
  <si>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</si>
  <si>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</si>
  <si>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</si>
  <si>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</si>
  <si>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</si>
  <si>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</si>
  <si>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</si>
  <si>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</si>
  <si>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</si>
  <si>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</si>
  <si>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</si>
  <si>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</si>
  <si>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</si>
  <si>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</si>
  <si>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</si>
  <si>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</si>
  <si>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</si>
  <si>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</si>
  <si>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</si>
  <si>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</si>
  <si>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</si>
  <si>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</si>
  <si>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</si>
  <si>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</si>
  <si>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</si>
  <si>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</si>
  <si>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</si>
  <si>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</si>
  <si>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</si>
  <si>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</si>
  <si>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</si>
  <si>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</si>
  <si>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</si>
  <si>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</si>
  <si>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</si>
  <si>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</si>
  <si>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</si>
  <si>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</si>
  <si>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</si>
  <si>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</si>
  <si>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</si>
  <si>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</si>
  <si>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</si>
  <si>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</si>
  <si>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</si>
  <si>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</si>
  <si>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</si>
  <si>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</si>
  <si>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</si>
  <si>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</si>
  <si>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</si>
  <si>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</si>
  <si>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</si>
  <si>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</si>
  <si>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</si>
  <si>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</si>
  <si>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</si>
  <si>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</si>
  <si>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</si>
  <si>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</si>
  <si>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</si>
  <si>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</si>
  <si>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</si>
  <si>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</si>
  <si>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</si>
  <si>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</si>
  <si>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</si>
  <si>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</si>
  <si>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</si>
  <si>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</si>
  <si>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</si>
  <si>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</si>
  <si>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</si>
  <si>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</si>
  <si>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</si>
  <si>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</si>
  <si>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</si>
  <si>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</si>
  <si>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</si>
  <si>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</si>
  <si>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</si>
  <si>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</si>
  <si>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</si>
  <si>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</si>
  <si>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</si>
  <si>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</si>
  <si>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</si>
  <si>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</si>
  <si>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</si>
  <si>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</si>
  <si>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</si>
  <si>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</si>
  <si>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</si>
  <si>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</si>
  <si>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</si>
  <si>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</si>
  <si>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</si>
  <si>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</si>
  <si>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</si>
  <si>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</si>
  <si>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</si>
  <si>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</si>
  <si>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</si>
  <si>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</si>
  <si>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</si>
  <si>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</si>
  <si>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</si>
  <si>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</si>
  <si>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</si>
  <si>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</si>
  <si>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</si>
  <si>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</si>
  <si>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</si>
  <si>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</si>
  <si>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</si>
  <si>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</si>
  <si>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</si>
  <si>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</si>
  <si>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</si>
  <si>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</si>
  <si>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</si>
  <si>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</si>
  <si>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</si>
  <si>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</si>
  <si>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</si>
  <si>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</si>
  <si>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</si>
  <si>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</si>
  <si>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</si>
  <si>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</si>
  <si>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</si>
  <si>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</si>
  <si>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</si>
  <si>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</si>
  <si>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</si>
  <si>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</si>
  <si>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</si>
  <si>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</si>
  <si>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</si>
  <si>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</si>
  <si>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</si>
  <si>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</si>
  <si>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</si>
  <si>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</si>
  <si>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</si>
  <si>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</si>
  <si>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</si>
  <si>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</si>
  <si>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</si>
  <si>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</si>
  <si>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</si>
  <si>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</si>
  <si>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</si>
  <si>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</si>
  <si>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</si>
  <si>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</si>
  <si>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</si>
  <si>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</si>
  <si>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</si>
  <si>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</si>
  <si>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</si>
  <si>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</si>
  <si>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</si>
  <si>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</si>
  <si>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</si>
  <si>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</si>
  <si>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</si>
  <si>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</si>
  <si>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</si>
  <si>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</si>
  <si>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</si>
  <si>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</si>
  <si>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</si>
  <si>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</si>
  <si>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</si>
  <si>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</si>
  <si>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</si>
  <si>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</si>
  <si>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</si>
  <si>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</si>
  <si>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</si>
  <si>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</si>
  <si>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</si>
  <si>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</si>
  <si>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</si>
  <si>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</si>
  <si>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</si>
  <si>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</si>
  <si>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</si>
  <si>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</si>
  <si>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</si>
  <si>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</si>
  <si>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</si>
  <si>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</si>
  <si>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</si>
  <si>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</si>
  <si>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</si>
  <si>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</si>
  <si>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</si>
  <si>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</si>
  <si>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</si>
  <si>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</si>
  <si>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</si>
  <si>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</si>
  <si>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</si>
  <si>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</si>
  <si>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</si>
  <si>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</si>
  <si>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</si>
  <si>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</si>
  <si>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</si>
  <si>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</si>
  <si>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</si>
  <si>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</si>
  <si>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</si>
  <si>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</si>
  <si>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</si>
  <si>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</si>
  <si>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</si>
  <si>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</si>
  <si>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</si>
  <si>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</si>
  <si>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</si>
  <si>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</si>
  <si>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</si>
  <si>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</si>
  <si>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</si>
  <si>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</si>
  <si>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</si>
  <si>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</si>
  <si>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</si>
  <si>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</si>
  <si>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</si>
  <si>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</si>
  <si>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</si>
  <si>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</si>
  <si>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</si>
  <si>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</si>
  <si>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</si>
  <si>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</si>
  <si>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</si>
  <si>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</si>
  <si>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</si>
  <si>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</si>
  <si>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</si>
  <si>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</si>
  <si>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</si>
  <si>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</si>
  <si>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</si>
  <si>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</si>
  <si>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</si>
  <si>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</si>
  <si>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</si>
  <si>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</si>
  <si>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</si>
  <si>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</si>
  <si>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</si>
  <si>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</si>
  <si>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</si>
  <si>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</si>
  <si>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</si>
  <si>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</si>
  <si>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</si>
  <si>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</si>
  <si>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</si>
  <si>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</si>
  <si>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</si>
  <si>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</si>
  <si>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</si>
  <si>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</si>
  <si>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</si>
  <si>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</si>
  <si>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</si>
  <si>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</si>
  <si>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</si>
  <si>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</si>
  <si>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</si>
  <si>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</si>
  <si>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</si>
  <si>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</si>
  <si>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</si>
  <si>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</si>
  <si>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</si>
  <si>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</si>
  <si>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</si>
  <si>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</si>
  <si>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</si>
  <si>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</si>
  <si>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</si>
  <si>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</si>
  <si>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</si>
  <si>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</si>
  <si>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</si>
  <si>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</si>
  <si>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</si>
  <si>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</si>
  <si>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</si>
  <si>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</si>
  <si>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</si>
  <si>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</si>
  <si>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</si>
  <si>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</si>
  <si>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</si>
  <si>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</si>
  <si>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</si>
  <si>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</si>
  <si>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</si>
  <si>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</si>
  <si>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</si>
  <si>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</si>
  <si>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</si>
  <si>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</si>
  <si>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</si>
  <si>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</si>
  <si>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</si>
  <si>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</si>
  <si>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</si>
  <si>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</si>
  <si>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</si>
  <si>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</si>
  <si>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</si>
  <si>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</si>
  <si>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</si>
  <si>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</si>
  <si>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</si>
  <si>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</si>
  <si>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</si>
  <si>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</si>
  <si>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</si>
  <si>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</si>
  <si>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</si>
  <si>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</si>
  <si>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</si>
  <si>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</si>
  <si>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</si>
  <si>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</si>
  <si>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</si>
  <si>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</si>
  <si>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</si>
  <si>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</si>
  <si>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</si>
  <si>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</si>
  <si>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</si>
  <si>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</si>
  <si>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</si>
  <si>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</si>
  <si>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</si>
  <si>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</si>
  <si>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</si>
  <si>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</si>
  <si>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</si>
  <si>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</si>
  <si>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</si>
  <si>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</si>
  <si>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</si>
  <si>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</si>
  <si>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</si>
  <si>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</si>
  <si>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</si>
  <si>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</si>
  <si>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</si>
  <si>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</si>
  <si>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</si>
  <si>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</si>
  <si>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</si>
  <si>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</si>
  <si>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</si>
  <si>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</si>
  <si>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</si>
  <si>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</si>
  <si>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</si>
  <si>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</si>
  <si>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</si>
  <si>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</si>
  <si>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</si>
  <si>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</si>
  <si>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</si>
  <si>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</si>
  <si>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</si>
  <si>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</si>
  <si>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</si>
  <si>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</si>
  <si>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</si>
  <si>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</si>
  <si>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</si>
  <si>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</si>
  <si>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</si>
  <si>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</si>
  <si>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</si>
  <si>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</si>
  <si>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</si>
  <si>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</si>
  <si>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</si>
  <si>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</si>
  <si>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</si>
  <si>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</si>
  <si>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</si>
  <si>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</si>
  <si>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</si>
  <si>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</si>
  <si>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</si>
  <si>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</si>
  <si>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</si>
  <si>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</si>
  <si>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</si>
  <si>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</si>
  <si>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</si>
  <si>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</si>
  <si>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</si>
  <si>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</si>
  <si>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</si>
  <si>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</si>
  <si>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</si>
  <si>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</si>
  <si>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</si>
  <si>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</si>
  <si>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</si>
  <si>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</si>
  <si>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</si>
  <si>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</si>
  <si>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</si>
  <si>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</si>
  <si>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</si>
  <si>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</si>
  <si>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</si>
  <si>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</si>
  <si>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</si>
  <si>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</si>
  <si>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</si>
  <si>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</si>
  <si>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</si>
  <si>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</si>
  <si>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</si>
  <si>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</si>
  <si>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</si>
  <si>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</si>
  <si>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</si>
  <si>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</si>
  <si>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</si>
  <si>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</si>
  <si>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</si>
  <si>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</si>
  <si>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</si>
  <si>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</si>
  <si>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</si>
  <si>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</si>
  <si>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</si>
  <si>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</si>
  <si>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</si>
  <si>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</si>
  <si>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</si>
  <si>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</si>
  <si>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</si>
  <si>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</si>
  <si>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</si>
  <si>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</si>
  <si>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</si>
  <si>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</si>
  <si>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</si>
  <si>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</si>
  <si>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</si>
  <si>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</si>
  <si>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</si>
  <si>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</si>
  <si>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</si>
  <si>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</si>
  <si>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</si>
  <si>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</si>
  <si>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</si>
  <si>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</si>
  <si>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</si>
  <si>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</si>
  <si>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</si>
  <si>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</si>
  <si>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</si>
  <si>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</si>
  <si>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</si>
  <si>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</si>
  <si>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</si>
  <si>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</si>
  <si>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</si>
  <si>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</si>
  <si>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</si>
  <si>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</si>
  <si>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</si>
  <si>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</si>
  <si>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</si>
  <si>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</si>
  <si>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</si>
  <si>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</si>
  <si>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</si>
  <si>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</si>
  <si>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</si>
  <si>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</si>
  <si>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</si>
  <si>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</si>
  <si>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</si>
  <si>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</si>
  <si>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</si>
  <si>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</si>
  <si>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</si>
  <si>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</si>
  <si>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</si>
  <si>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</si>
  <si>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</si>
  <si>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</si>
  <si>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</si>
  <si>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</si>
  <si>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</si>
  <si>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</si>
  <si>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</si>
  <si>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</si>
  <si>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</si>
  <si>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</si>
  <si>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</si>
  <si>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</si>
  <si>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</si>
  <si>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</si>
  <si>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</si>
  <si>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</si>
  <si>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</si>
  <si>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</si>
  <si>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</si>
  <si>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</si>
  <si>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</si>
  <si>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</si>
  <si>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</si>
  <si>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</si>
  <si>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</si>
  <si>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</si>
  <si>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</si>
  <si>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</si>
  <si>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</si>
  <si>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</si>
  <si>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</si>
  <si>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</si>
  <si>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</si>
  <si>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</si>
  <si>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</si>
  <si>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</si>
  <si>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</si>
  <si>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</si>
  <si>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</si>
  <si>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</si>
  <si>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</si>
  <si>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</si>
  <si>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</si>
  <si>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</si>
  <si>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</si>
  <si>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</si>
  <si>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</si>
  <si>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</si>
  <si>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</si>
  <si>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</si>
  <si>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</si>
  <si>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</si>
  <si>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</si>
  <si>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</si>
  <si>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</si>
  <si>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</si>
  <si>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</si>
  <si>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</si>
  <si>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</si>
  <si>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</si>
  <si>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</si>
  <si>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</si>
  <si>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</si>
  <si>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</si>
  <si>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</si>
  <si>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</si>
  <si>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</si>
  <si>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</si>
  <si>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</si>
  <si>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</si>
  <si>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</si>
  <si>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</si>
  <si>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</si>
  <si>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</si>
  <si>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</si>
  <si>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</si>
  <si>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</si>
  <si>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</si>
  <si>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</si>
  <si>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</si>
  <si>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</si>
  <si>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</si>
  <si>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</si>
  <si>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</si>
  <si>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</si>
  <si>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</si>
  <si>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</si>
  <si>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</si>
  <si>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</si>
  <si>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</si>
  <si>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</si>
  <si>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</si>
  <si>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</si>
  <si>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</si>
  <si>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</si>
  <si>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</si>
  <si>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</si>
  <si>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</si>
  <si>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</si>
  <si>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</si>
  <si>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</si>
  <si>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</si>
  <si>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</si>
  <si>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</si>
  <si>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</si>
  <si>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</si>
  <si>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</si>
  <si>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</si>
  <si>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</si>
  <si>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</si>
  <si>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</si>
  <si>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</si>
  <si>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</si>
  <si>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</si>
  <si>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</si>
  <si>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</si>
  <si>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</si>
  <si>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</si>
  <si>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</si>
  <si>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</si>
  <si>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</si>
  <si>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</si>
  <si>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</si>
  <si>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</si>
  <si>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</si>
  <si>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</si>
  <si>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</si>
  <si>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</si>
  <si>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</si>
  <si>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</si>
  <si>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</si>
  <si>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</si>
  <si>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</si>
  <si>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</si>
  <si>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</si>
  <si>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</si>
  <si>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</si>
  <si>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</si>
  <si>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</si>
  <si>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</si>
  <si>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</si>
  <si>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</si>
  <si>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</si>
  <si>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</si>
  <si>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</si>
  <si>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</si>
  <si>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</si>
  <si>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</si>
  <si>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</si>
  <si>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</si>
  <si>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</si>
  <si>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</si>
  <si>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</si>
  <si>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</si>
  <si>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</si>
  <si>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</si>
  <si>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</si>
  <si>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</si>
  <si>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</si>
  <si>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</si>
  <si>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</si>
  <si>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</si>
  <si>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</si>
  <si>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</si>
  <si>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</si>
  <si>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</si>
  <si>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</si>
  <si>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</si>
  <si>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</si>
  <si>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</si>
  <si>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</si>
  <si>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</si>
  <si>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</si>
  <si>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</si>
  <si>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</si>
  <si>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</si>
  <si>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</si>
  <si>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</si>
  <si>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</si>
  <si>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</si>
  <si>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</si>
  <si>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</si>
  <si>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</si>
  <si>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</si>
  <si>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</si>
  <si>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</si>
  <si>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</si>
  <si>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</si>
  <si>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</si>
  <si>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</si>
  <si>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</si>
  <si>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</si>
  <si>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</si>
  <si>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</si>
  <si>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</si>
  <si>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</si>
  <si>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</si>
  <si>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</si>
  <si>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</si>
  <si>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</si>
  <si>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</si>
  <si>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</si>
  <si>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</si>
  <si>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</si>
  <si>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</si>
  <si>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</si>
  <si>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</si>
  <si>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</si>
  <si>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</si>
  <si>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</si>
  <si>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</si>
  <si>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</si>
  <si>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</si>
  <si>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</si>
  <si>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</si>
  <si>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</si>
  <si>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</si>
  <si>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</si>
  <si>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</si>
  <si>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</si>
  <si>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</si>
  <si>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</si>
  <si>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</si>
  <si>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</si>
  <si>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</si>
  <si>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</si>
  <si>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</si>
  <si>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</si>
  <si>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</si>
  <si>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</si>
  <si>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</si>
  <si>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</si>
  <si>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</si>
  <si>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</si>
  <si>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</si>
  <si>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</si>
  <si>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</si>
  <si>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</si>
  <si>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</si>
  <si>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</si>
  <si>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</si>
  <si>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</si>
  <si>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</si>
  <si>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</si>
  <si>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</si>
  <si>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</si>
  <si>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</si>
  <si>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</si>
  <si>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</si>
  <si>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</si>
  <si>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</si>
  <si>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</si>
  <si>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</si>
  <si>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</si>
  <si>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</si>
  <si>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</si>
  <si>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</si>
  <si>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</si>
  <si>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</si>
  <si>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</si>
  <si>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</si>
  <si>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</si>
  <si>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</si>
  <si>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</si>
  <si>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</si>
  <si>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</si>
  <si>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</si>
  <si>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</si>
  <si>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</si>
  <si>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</si>
  <si>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</si>
  <si>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</si>
  <si>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</si>
  <si>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</si>
  <si>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</si>
  <si>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</si>
  <si>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</si>
  <si>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</si>
  <si>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</si>
  <si>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</si>
  <si>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</si>
  <si>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</si>
  <si>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</si>
  <si>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</si>
  <si>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</si>
  <si>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</si>
  <si>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</si>
  <si>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</si>
  <si>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</si>
  <si>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</si>
  <si>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</si>
  <si>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</si>
  <si>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</si>
  <si>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</si>
  <si>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</si>
  <si>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</si>
  <si>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</si>
  <si>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</si>
  <si>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</si>
  <si>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</si>
  <si>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</si>
  <si>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</si>
  <si>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</si>
  <si>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</si>
  <si>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</si>
  <si>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</si>
  <si>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</si>
  <si>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</si>
  <si>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</si>
  <si>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</si>
  <si>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</si>
  <si>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</si>
  <si>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</si>
  <si>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</si>
  <si>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</si>
  <si>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</si>
  <si>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</si>
  <si>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</si>
  <si>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</si>
  <si>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</si>
  <si>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</si>
  <si>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</si>
  <si>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</si>
  <si>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</si>
  <si>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</si>
  <si>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</si>
  <si>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</si>
  <si>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</si>
  <si>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</si>
  <si>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</si>
  <si>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</si>
  <si>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</si>
  <si>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</si>
  <si>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</si>
  <si>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</si>
  <si>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</si>
  <si>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</si>
  <si>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</si>
  <si>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</si>
  <si>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</si>
  <si>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</si>
  <si>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</si>
  <si>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</si>
  <si>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</si>
  <si>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</si>
  <si>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</si>
  <si>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</si>
  <si>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</si>
  <si>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</si>
  <si>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</si>
  <si>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</si>
  <si>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</si>
  <si>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</si>
  <si>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</si>
  <si>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</si>
  <si>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</si>
  <si>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</si>
  <si>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</si>
  <si>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</si>
  <si>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</si>
  <si>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</si>
  <si>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</si>
  <si>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</si>
  <si>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</si>
  <si>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</si>
  <si>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</si>
  <si>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</si>
  <si>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</si>
  <si>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</si>
  <si>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</si>
  <si>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</si>
  <si>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</si>
  <si>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</si>
  <si>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</si>
  <si>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</si>
  <si>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</si>
  <si>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</si>
  <si>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</si>
  <si>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</si>
  <si>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</si>
  <si>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</si>
  <si>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</si>
  <si>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</si>
  <si>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</si>
  <si>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</si>
  <si>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</si>
  <si>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</si>
  <si>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</si>
  <si>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</si>
  <si>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</si>
  <si>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</si>
  <si>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</si>
  <si>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</si>
  <si>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</si>
  <si>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</si>
  <si>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</si>
  <si>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</si>
  <si>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</si>
  <si>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</si>
  <si>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</si>
  <si>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</si>
  <si>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</si>
  <si>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</si>
  <si>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</si>
  <si>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</si>
  <si>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</si>
  <si>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</si>
  <si>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</si>
  <si>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</si>
  <si>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</si>
  <si>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</si>
  <si>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</si>
  <si>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</si>
  <si>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</si>
  <si>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</si>
  <si>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</si>
  <si>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</si>
  <si>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</si>
  <si>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</si>
  <si>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</si>
  <si>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</si>
  <si>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</si>
  <si>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</si>
  <si>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</si>
  <si>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</si>
  <si>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</si>
  <si>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</si>
  <si>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</si>
  <si>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</si>
  <si>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</si>
  <si>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</si>
  <si>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</si>
  <si>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</si>
  <si>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</si>
  <si>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</si>
  <si>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</si>
  <si>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</si>
  <si>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</si>
  <si>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</si>
  <si>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</si>
  <si>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</si>
  <si>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</si>
  <si>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</si>
  <si>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</si>
  <si>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</si>
  <si>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</si>
  <si>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</si>
  <si>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</si>
  <si>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</si>
  <si>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</si>
  <si>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</si>
  <si>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</si>
  <si>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</si>
  <si>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</si>
  <si>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</si>
  <si>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</si>
  <si>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</si>
  <si>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</si>
  <si>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</si>
  <si>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</si>
  <si>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</si>
  <si>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</si>
  <si>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</si>
  <si>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</si>
  <si>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</si>
  <si>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</si>
  <si>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</si>
  <si>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</si>
  <si>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</si>
  <si>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</si>
  <si>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</si>
  <si>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</si>
  <si>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</si>
  <si>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</si>
  <si>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</si>
  <si>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</si>
  <si>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</si>
  <si>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</si>
  <si>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</si>
  <si>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</si>
  <si>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</si>
  <si>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</si>
  <si>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</si>
  <si>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</si>
  <si>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</si>
  <si>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</si>
  <si>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</si>
  <si>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</si>
  <si>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</si>
  <si>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</si>
  <si>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</si>
  <si>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</si>
  <si>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</si>
  <si>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</si>
  <si>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</si>
  <si>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</si>
  <si>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</si>
  <si>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</si>
  <si>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</si>
  <si>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</si>
  <si>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</si>
  <si>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</si>
  <si>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</si>
  <si>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</si>
  <si>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</si>
  <si>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</si>
  <si>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</si>
  <si>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</si>
  <si>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</si>
  <si>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</si>
  <si>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</si>
  <si>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</si>
  <si>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</si>
  <si>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</si>
  <si>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</si>
  <si>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</si>
  <si>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</si>
  <si>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</si>
  <si>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</si>
  <si>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</si>
  <si>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</si>
  <si>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</si>
  <si>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</si>
  <si>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</si>
  <si>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</si>
  <si>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</si>
  <si>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</si>
  <si>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</si>
  <si>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</si>
  <si>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</si>
  <si>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</si>
  <si>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</si>
  <si>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</si>
  <si>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</si>
  <si>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</si>
  <si>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</si>
  <si>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</si>
  <si>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</si>
  <si>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</si>
  <si>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</si>
  <si>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</si>
  <si>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</si>
  <si>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</si>
  <si>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</si>
  <si>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</si>
  <si>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</si>
  <si>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</si>
  <si>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</si>
  <si>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</si>
  <si>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</si>
  <si>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</si>
  <si>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</si>
  <si>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</si>
  <si>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</si>
  <si>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</si>
  <si>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</si>
  <si>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</si>
  <si>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</si>
  <si>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</si>
  <si>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</si>
  <si>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</si>
  <si>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</si>
  <si>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</si>
  <si>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</si>
  <si>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</si>
  <si>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</si>
  <si>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</si>
  <si>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</si>
  <si>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</si>
  <si>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</si>
  <si>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</si>
  <si>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</si>
  <si>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</si>
  <si>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</si>
  <si>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</si>
  <si>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</si>
  <si>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</si>
  <si>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</si>
  <si>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</si>
  <si>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</si>
  <si>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</si>
  <si>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</si>
  <si>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</si>
  <si>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</si>
  <si>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</si>
  <si>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</si>
  <si>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</si>
  <si>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</si>
  <si>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</si>
  <si>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</si>
  <si>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</si>
  <si>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</si>
  <si>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</si>
  <si>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</si>
  <si>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</si>
  <si>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</si>
  <si>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</si>
  <si>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</si>
  <si>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</si>
  <si>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</si>
  <si>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</si>
  <si>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</si>
  <si>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</si>
  <si>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</si>
  <si>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</si>
  <si>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</si>
  <si>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</si>
  <si>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</si>
  <si>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</si>
  <si>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</si>
  <si>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</si>
  <si>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</si>
  <si>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</si>
  <si>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</si>
  <si>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</si>
  <si>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</si>
  <si>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</si>
  <si>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</si>
  <si>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</si>
  <si>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</si>
  <si>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</si>
  <si>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</si>
  <si>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</si>
  <si>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</si>
  <si>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</si>
  <si>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</si>
  <si>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</si>
  <si>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</si>
  <si>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</si>
  <si>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</si>
  <si>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</si>
  <si>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</si>
  <si>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</si>
  <si>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</si>
  <si>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</si>
  <si>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</si>
  <si>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</si>
  <si>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</si>
  <si>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</si>
  <si>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</si>
  <si>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</si>
  <si>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</si>
  <si>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</si>
  <si>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</si>
  <si>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</si>
  <si>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</si>
  <si>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</si>
  <si>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</si>
  <si>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</si>
  <si>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</si>
  <si>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</si>
  <si>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</si>
  <si>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</si>
  <si>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</si>
  <si>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</si>
  <si>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</si>
  <si>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</si>
  <si>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</si>
  <si>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</si>
  <si>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</si>
  <si>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</si>
  <si>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</si>
  <si>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</si>
  <si>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</si>
  <si>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</si>
  <si>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</si>
  <si>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</si>
  <si>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</si>
  <si>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</si>
  <si>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</si>
  <si>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</si>
  <si>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</si>
  <si>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</si>
  <si>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</si>
  <si>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</si>
  <si>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</si>
  <si>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</si>
  <si>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</si>
  <si>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</si>
  <si>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</si>
  <si>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</si>
  <si>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</si>
  <si>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</si>
  <si>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</si>
  <si>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</si>
  <si>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</si>
  <si>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</si>
  <si>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</si>
  <si>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</si>
  <si>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</si>
  <si>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</si>
  <si>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</si>
  <si>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</si>
  <si>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</si>
  <si>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</si>
  <si>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</si>
  <si>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</si>
  <si>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</si>
  <si>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</si>
  <si>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</si>
  <si>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</si>
  <si>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</si>
  <si>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</si>
  <si>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</si>
  <si>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</si>
  <si>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</si>
  <si>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</si>
  <si>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</si>
  <si>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</si>
  <si>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</si>
  <si>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</si>
  <si>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</si>
  <si>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</si>
  <si>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</si>
  <si>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</si>
  <si>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</si>
  <si>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</si>
  <si>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</si>
  <si>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</si>
  <si>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</si>
  <si>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</si>
  <si>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</si>
  <si>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</si>
  <si>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</si>
  <si>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</si>
  <si>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</si>
  <si>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</si>
  <si>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</si>
  <si>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</si>
  <si>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</si>
  <si>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</si>
  <si>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</si>
  <si>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</si>
  <si>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</si>
  <si>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</si>
  <si>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</si>
  <si>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</si>
  <si>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</si>
  <si>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</si>
  <si>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</si>
  <si>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</si>
  <si>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</si>
  <si>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</si>
  <si>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</si>
  <si>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</si>
  <si>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</si>
  <si>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</si>
  <si>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</si>
  <si>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</si>
  <si>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</si>
  <si>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</si>
  <si>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</si>
  <si>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</si>
  <si>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</si>
  <si>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</si>
  <si>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</si>
  <si>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</si>
  <si>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</si>
  <si>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</si>
  <si>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</si>
  <si>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</si>
  <si>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</si>
  <si>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</si>
  <si>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</si>
  <si>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</si>
  <si>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</si>
  <si>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</si>
  <si>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</si>
  <si>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</si>
  <si>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</si>
  <si>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</si>
  <si>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</si>
  <si>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</si>
  <si>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</si>
  <si>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</si>
  <si>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</si>
  <si>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</si>
  <si>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</si>
  <si>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</si>
  <si>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</si>
  <si>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</si>
  <si>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</si>
  <si>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</si>
  <si>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</si>
  <si>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</si>
  <si>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</si>
  <si>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</si>
  <si>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</si>
  <si>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</si>
  <si>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</si>
  <si>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</si>
  <si>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</si>
  <si>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</si>
  <si>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</si>
  <si>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</si>
  <si>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</si>
  <si>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</si>
  <si>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</si>
  <si>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</si>
  <si>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</si>
  <si>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</si>
  <si>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</si>
  <si>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</si>
  <si>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</si>
  <si>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</si>
  <si>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</si>
  <si>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</si>
  <si>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</si>
  <si>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</si>
  <si>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</si>
  <si>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</si>
  <si>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</si>
  <si>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</si>
  <si>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</si>
  <si>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</si>
  <si>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</si>
  <si>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</si>
  <si>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</si>
  <si>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</si>
  <si>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</si>
  <si>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</si>
  <si>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</si>
  <si>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</si>
  <si>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</si>
  <si>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</si>
  <si>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</si>
  <si>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</si>
  <si>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</si>
  <si>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</si>
  <si>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</si>
  <si>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</si>
  <si>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</si>
  <si>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</si>
  <si>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</si>
  <si>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</si>
  <si>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</si>
  <si>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</si>
  <si>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</si>
  <si>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</si>
  <si>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</si>
  <si>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</si>
  <si>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</si>
  <si>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</si>
  <si>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</si>
  <si>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</si>
  <si>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</si>
  <si>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</si>
  <si>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</si>
  <si>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</si>
  <si>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</si>
  <si>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</si>
  <si>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</si>
  <si>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</si>
  <si>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</si>
  <si>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</si>
  <si>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</si>
  <si>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</si>
  <si>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</si>
  <si>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</si>
  <si>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</si>
  <si>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</si>
  <si>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</si>
  <si>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</si>
  <si>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</si>
  <si>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</si>
  <si>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</si>
  <si>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</si>
  <si>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</si>
  <si>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</si>
  <si>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</si>
  <si>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</si>
  <si>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</si>
  <si>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</si>
  <si>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</si>
  <si>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</si>
  <si>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</si>
  <si>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</si>
  <si>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</si>
  <si>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</si>
  <si>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</si>
  <si>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</si>
  <si>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</si>
  <si>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</si>
  <si>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</si>
  <si>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</si>
  <si>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</si>
  <si>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</si>
  <si>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</si>
  <si>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</si>
  <si>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</si>
  <si>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</si>
  <si>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</si>
  <si>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</si>
  <si>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</si>
  <si>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</si>
  <si>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</si>
  <si>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</si>
  <si>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</si>
  <si>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</si>
  <si>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</si>
  <si>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</si>
  <si>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</si>
  <si>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</si>
  <si>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</si>
  <si>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</si>
  <si>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</si>
  <si>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</si>
  <si>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</si>
  <si>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</si>
  <si>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</si>
  <si>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</si>
  <si>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</si>
  <si>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</si>
  <si>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</si>
  <si>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</si>
  <si>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</si>
  <si>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</si>
  <si>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</si>
  <si>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</si>
  <si>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</si>
  <si>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</si>
  <si>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</si>
  <si>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</si>
  <si>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</si>
  <si>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</si>
  <si>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</si>
  <si>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</si>
  <si>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</si>
  <si>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</si>
  <si>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</si>
  <si>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</si>
  <si>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</si>
  <si>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</si>
  <si>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</si>
  <si>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</si>
  <si>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</si>
  <si>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</si>
  <si>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</si>
  <si>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</si>
  <si>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</si>
  <si>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</si>
  <si>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</si>
  <si>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</si>
  <si>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</si>
  <si>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</si>
  <si>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</si>
  <si>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</si>
  <si>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</si>
  <si>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</si>
  <si>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</si>
  <si>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</si>
  <si>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</si>
  <si>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</si>
  <si>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</si>
  <si>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</si>
  <si>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</si>
  <si>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</si>
  <si>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</si>
  <si>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</si>
  <si>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</si>
  <si>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</si>
  <si>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</si>
  <si>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</si>
  <si>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</si>
  <si>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</si>
  <si>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</si>
  <si>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</si>
  <si>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</si>
  <si>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</si>
  <si>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</si>
  <si>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</si>
  <si>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</si>
  <si>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</si>
  <si>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</si>
  <si>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</si>
  <si>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</si>
  <si>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</si>
  <si>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</si>
  <si>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</si>
  <si>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</si>
  <si>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</si>
  <si>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</si>
  <si>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</si>
  <si>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</si>
  <si>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</si>
  <si>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</si>
  <si>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</si>
  <si>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</si>
  <si>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</si>
  <si>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</si>
  <si>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</si>
  <si>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</si>
  <si>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</si>
  <si>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</si>
  <si>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</si>
  <si>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</si>
  <si>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</si>
  <si>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</si>
  <si>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</si>
  <si>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</si>
  <si>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</si>
  <si>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</si>
  <si>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</si>
  <si>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</si>
  <si>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</si>
  <si>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</si>
  <si>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</si>
  <si>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</si>
  <si>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</si>
  <si>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</si>
  <si>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</si>
  <si>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</si>
  <si>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</si>
  <si>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</si>
  <si>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</si>
  <si>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</si>
  <si>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</si>
  <si>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</si>
  <si>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</si>
  <si>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</si>
  <si>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</si>
  <si>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</si>
  <si>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</si>
  <si>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</si>
  <si>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</si>
  <si>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</si>
  <si>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</si>
  <si>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</si>
  <si>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</si>
  <si>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</si>
  <si>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</si>
  <si>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</si>
  <si>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</si>
  <si>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</si>
  <si>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</si>
  <si>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</si>
  <si>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</si>
  <si>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</si>
  <si>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</si>
  <si>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</si>
  <si>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</si>
  <si>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</si>
  <si>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</si>
  <si>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</si>
  <si>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</si>
  <si>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</si>
  <si>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</si>
  <si>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</si>
  <si>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</si>
  <si>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</si>
  <si>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</si>
  <si>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</si>
  <si>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</si>
  <si>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</si>
  <si>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</si>
  <si>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</si>
  <si>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</si>
  <si>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</si>
  <si>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</si>
  <si>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</si>
  <si>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</si>
  <si>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</si>
  <si>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</si>
  <si>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</si>
  <si>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</si>
  <si>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</si>
  <si>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</si>
  <si>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</si>
  <si>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</si>
  <si>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</si>
  <si>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</si>
  <si>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</si>
  <si>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</si>
  <si>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</si>
  <si>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</si>
  <si>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</si>
  <si>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</si>
  <si>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</si>
  <si>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</si>
  <si>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</si>
  <si>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</si>
  <si>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</si>
  <si>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</si>
  <si>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</si>
  <si>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</si>
  <si>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</si>
  <si>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</si>
  <si>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</si>
  <si>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</si>
  <si>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</si>
  <si>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</si>
  <si>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</si>
  <si>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</si>
  <si>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</si>
  <si>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</si>
  <si>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</si>
  <si>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</si>
  <si>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</si>
  <si>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</si>
  <si>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</si>
  <si>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</si>
  <si>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</si>
  <si>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</si>
  <si>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</si>
  <si>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</si>
  <si>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</si>
  <si>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</si>
  <si>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</si>
  <si>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</si>
  <si>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</si>
  <si>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</si>
  <si>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</si>
  <si>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</si>
  <si>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</si>
  <si>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</si>
  <si>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</si>
  <si>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</si>
  <si>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</si>
  <si>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</si>
  <si>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</si>
  <si>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</si>
  <si>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</si>
  <si>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</si>
  <si>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</si>
  <si>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</si>
  <si>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</si>
  <si>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</si>
  <si>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</si>
  <si>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</si>
  <si>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</si>
  <si>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</si>
  <si>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</si>
  <si>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</si>
  <si>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</si>
  <si>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</si>
  <si>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</si>
  <si>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</si>
  <si>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</si>
  <si>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</si>
  <si>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</si>
  <si>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</si>
  <si>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</si>
  <si>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</si>
  <si>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</si>
  <si>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</si>
  <si>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</si>
  <si>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</si>
  <si>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</si>
  <si>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</si>
  <si>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</si>
  <si>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</si>
  <si>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</si>
  <si>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</si>
  <si>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</si>
  <si>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</si>
  <si>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</si>
  <si>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</si>
  <si>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</si>
  <si>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</si>
  <si>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</si>
  <si>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</si>
  <si>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</si>
  <si>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</si>
  <si>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</si>
  <si>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</si>
  <si>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</si>
  <si>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</si>
  <si>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</si>
  <si>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</si>
  <si>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</si>
  <si>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</si>
  <si>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</si>
  <si>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</si>
  <si>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</si>
  <si>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</si>
  <si>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</si>
  <si>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</si>
  <si>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</si>
  <si>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</si>
  <si>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</si>
  <si>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</si>
  <si>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</si>
  <si>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</si>
  <si>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</si>
  <si>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</si>
  <si>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</si>
  <si>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</si>
  <si>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</si>
  <si>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</si>
  <si>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</si>
  <si>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</si>
  <si>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</si>
  <si>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</si>
  <si>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</si>
  <si>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</si>
  <si>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</si>
  <si>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</si>
  <si>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</si>
  <si>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</si>
  <si>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</si>
  <si>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</si>
  <si>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</si>
  <si>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</si>
  <si>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</si>
  <si>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</si>
  <si>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</si>
  <si>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</si>
  <si>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</si>
  <si>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</si>
  <si>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</si>
  <si>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</si>
  <si>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</si>
  <si>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</si>
  <si>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</si>
  <si>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</si>
  <si>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</si>
  <si>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</si>
  <si>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</si>
  <si>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</si>
  <si>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</si>
  <si>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</si>
  <si>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</si>
  <si>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</si>
  <si>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</si>
  <si>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</si>
  <si>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</si>
  <si>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</si>
  <si>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</si>
  <si>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</si>
  <si>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</si>
  <si>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</si>
  <si>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</si>
  <si>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</si>
  <si>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</si>
  <si>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</si>
  <si>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</si>
  <si>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</si>
  <si>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</si>
  <si>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</si>
  <si>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</si>
  <si>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</si>
  <si>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</si>
  <si>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</si>
  <si>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</si>
  <si>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</si>
  <si>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</si>
  <si>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</si>
  <si>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</si>
  <si>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</si>
  <si>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</si>
  <si>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</si>
  <si>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</si>
  <si>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</si>
  <si>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</si>
  <si>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</si>
  <si>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</si>
  <si>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</si>
  <si>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</si>
  <si>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</si>
  <si>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</si>
  <si>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</si>
  <si>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</si>
  <si>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</si>
  <si>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</si>
  <si>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</si>
  <si>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</si>
  <si>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</si>
  <si>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</si>
  <si>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</si>
  <si>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</si>
  <si>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</si>
  <si>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</si>
  <si>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</si>
  <si>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</si>
  <si>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</si>
  <si>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</si>
  <si>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</si>
  <si>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</si>
  <si>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</si>
  <si>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</si>
  <si>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</si>
  <si>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</si>
  <si>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</si>
  <si>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</si>
  <si>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</si>
  <si>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</si>
  <si>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</si>
  <si>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</si>
  <si>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</si>
  <si>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</si>
  <si>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</si>
  <si>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</si>
  <si>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</si>
  <si>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</si>
  <si>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</si>
  <si>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</si>
  <si>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</si>
  <si>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</si>
  <si>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</si>
  <si>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</si>
  <si>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</si>
  <si>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</si>
  <si>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</si>
  <si>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</si>
  <si>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</si>
  <si>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</si>
  <si>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</si>
  <si>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</si>
  <si>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</si>
  <si>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</si>
  <si>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</si>
  <si>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</si>
  <si>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</si>
  <si>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</si>
  <si>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</si>
  <si>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</si>
  <si>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</si>
  <si>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</si>
  <si>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</si>
  <si>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</si>
  <si>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</si>
  <si>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</si>
  <si>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</si>
  <si>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</si>
  <si>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</si>
  <si>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</si>
  <si>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</si>
  <si>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</si>
  <si>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</si>
  <si>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</si>
  <si>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</si>
  <si>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</si>
  <si>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</si>
  <si>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</si>
  <si>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</si>
  <si>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</si>
  <si>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</si>
  <si>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</si>
  <si>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</si>
  <si>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</si>
  <si>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</si>
  <si>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</si>
  <si>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</si>
  <si>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</si>
  <si>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</si>
  <si>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</si>
  <si>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</si>
  <si>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</si>
  <si>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</si>
  <si>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</si>
  <si>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</si>
  <si>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</si>
  <si>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</si>
  <si>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</si>
  <si>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</si>
  <si>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</si>
  <si>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</si>
  <si>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</si>
  <si>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</si>
  <si>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</si>
  <si>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</si>
  <si>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</si>
  <si>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</si>
  <si>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</si>
  <si>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</si>
  <si>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</si>
  <si>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</si>
  <si>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</si>
  <si>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</si>
  <si>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</si>
  <si>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</si>
  <si>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</si>
  <si>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</si>
  <si>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</si>
  <si>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</si>
  <si>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</si>
  <si>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</si>
  <si>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</si>
  <si>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</si>
  <si>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</si>
  <si>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</si>
  <si>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</si>
  <si>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</si>
  <si>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</si>
  <si>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</si>
  <si>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</si>
  <si>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</si>
  <si>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</si>
  <si>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</si>
  <si>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</si>
  <si>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</si>
  <si>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</si>
  <si>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</si>
  <si>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</si>
  <si>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</si>
  <si>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</si>
  <si>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</si>
  <si>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</si>
  <si>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</si>
  <si>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</si>
  <si>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</si>
  <si>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</si>
  <si>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</si>
  <si>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</si>
  <si>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</si>
  <si>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</si>
  <si>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</si>
  <si>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</si>
  <si>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</si>
  <si>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</si>
  <si>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</si>
  <si>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</si>
  <si>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</si>
  <si>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</si>
  <si>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</si>
  <si>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</si>
  <si>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</si>
  <si>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</si>
  <si>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</si>
  <si>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</si>
  <si>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</si>
  <si>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</si>
  <si>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</si>
  <si>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</si>
  <si>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</si>
  <si>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</si>
  <si>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</si>
  <si>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</si>
  <si>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</si>
  <si>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</si>
  <si>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</si>
  <si>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</si>
  <si>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</si>
  <si>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</si>
  <si>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</si>
  <si>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</si>
  <si>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</si>
  <si>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</si>
  <si>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</si>
  <si>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</si>
  <si>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</si>
  <si>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</si>
  <si>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</si>
  <si>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</si>
  <si>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</si>
  <si>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</si>
  <si>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</si>
  <si>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</si>
  <si>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</si>
  <si>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</si>
  <si>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</si>
  <si>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</si>
  <si>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</si>
  <si>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</si>
  <si>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</si>
  <si>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</si>
  <si>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</si>
  <si>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</si>
  <si>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</si>
  <si>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</si>
  <si>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</si>
  <si>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</si>
  <si>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</si>
  <si>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</si>
  <si>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</si>
  <si>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</si>
  <si>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</si>
  <si>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</si>
  <si>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</si>
  <si>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</si>
  <si>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</si>
  <si>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</si>
  <si>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</si>
  <si>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</si>
  <si>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</si>
  <si>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</si>
  <si>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</si>
  <si>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</si>
  <si>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</si>
  <si>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</si>
  <si>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</si>
  <si>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</si>
  <si>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</si>
  <si>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</si>
  <si>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</si>
  <si>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</si>
  <si>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</si>
  <si>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</si>
  <si>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</si>
  <si>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</si>
  <si>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</si>
  <si>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</si>
  <si>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</si>
  <si>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</si>
  <si>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</si>
  <si>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</si>
  <si>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</si>
  <si>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</si>
  <si>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</si>
  <si>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</si>
  <si>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</si>
  <si>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</si>
  <si>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</si>
  <si>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</si>
  <si>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</si>
  <si>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</si>
  <si>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</si>
  <si>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</si>
  <si>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</si>
  <si>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</si>
  <si>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</si>
  <si>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</si>
  <si>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</si>
  <si>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</si>
  <si>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</si>
  <si>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</si>
  <si>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</si>
  <si>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</si>
  <si>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</si>
  <si>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</si>
  <si>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</si>
  <si>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</si>
  <si>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</si>
  <si>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</si>
  <si>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</si>
  <si>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</si>
  <si>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</si>
  <si>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</si>
  <si>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</si>
  <si>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</si>
  <si>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</si>
  <si>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</si>
  <si>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</si>
  <si>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</si>
  <si>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</si>
  <si>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</si>
  <si>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</si>
  <si>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</si>
  <si>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</si>
  <si>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</si>
  <si>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</si>
  <si>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</si>
  <si>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</si>
  <si>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</si>
  <si>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</si>
  <si>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</si>
  <si>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</si>
  <si>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</si>
  <si>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</si>
  <si>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</si>
  <si>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</si>
  <si>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</si>
  <si>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</si>
  <si>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</si>
  <si>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</si>
  <si>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</si>
  <si>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</si>
  <si>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</si>
  <si>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</si>
  <si>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</si>
  <si>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</si>
  <si>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</si>
  <si>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</si>
  <si>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</si>
  <si>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</si>
  <si>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</si>
  <si>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</si>
  <si>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</si>
  <si>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</si>
  <si>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</si>
  <si>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</si>
  <si>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</si>
  <si>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</si>
  <si>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</si>
  <si>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</si>
  <si>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</si>
  <si>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</si>
  <si>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</si>
  <si>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</si>
  <si>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</si>
  <si>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</si>
  <si>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</si>
  <si>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</si>
  <si>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</si>
  <si>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</si>
  <si>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</si>
  <si>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</si>
  <si>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</si>
  <si>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</si>
  <si>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</si>
  <si>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</si>
  <si>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</si>
  <si>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</si>
  <si>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</si>
  <si>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</si>
  <si>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</si>
  <si>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</si>
  <si>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</si>
  <si>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</si>
  <si>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</si>
  <si>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</si>
  <si>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</si>
  <si>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</si>
  <si>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</si>
  <si>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</si>
  <si>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</si>
  <si>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</si>
  <si>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</si>
  <si>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</si>
  <si>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</si>
  <si>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</si>
  <si>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</si>
  <si>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</si>
  <si>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</si>
  <si>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</si>
  <si>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</si>
  <si>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</si>
  <si>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</si>
  <si>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</si>
  <si>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</si>
  <si>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</si>
  <si>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</si>
  <si>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</si>
  <si>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</si>
  <si>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</si>
  <si>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</si>
  <si>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</si>
  <si>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</si>
  <si>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</si>
  <si>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</si>
  <si>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</si>
  <si>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</si>
  <si>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</si>
  <si>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</si>
  <si>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</si>
  <si>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</si>
  <si>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</si>
  <si>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</si>
  <si>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</si>
  <si>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</si>
  <si>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</si>
  <si>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</si>
  <si>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</si>
  <si>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</si>
  <si>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</si>
  <si>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</si>
  <si>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</si>
  <si>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</si>
  <si>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</si>
  <si>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</si>
  <si>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</si>
  <si>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</si>
  <si>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</si>
  <si>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</si>
  <si>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</si>
  <si>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</si>
  <si>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</si>
  <si>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</si>
  <si>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</si>
  <si>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</si>
  <si>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</si>
  <si>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</si>
  <si>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</si>
  <si>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</si>
  <si>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</si>
  <si>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</si>
  <si>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</si>
  <si>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</si>
  <si>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</si>
  <si>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</si>
  <si>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</si>
  <si>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</si>
  <si>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</si>
  <si>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</si>
  <si>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</si>
  <si>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</si>
  <si>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</si>
  <si>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</si>
  <si>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</si>
  <si>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</si>
  <si>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</si>
  <si>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</si>
  <si>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</si>
  <si>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</si>
  <si>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</si>
  <si>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</si>
  <si>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</si>
  <si>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</si>
  <si>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</si>
  <si>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</si>
  <si>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</si>
  <si>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</si>
  <si>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</si>
  <si>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</si>
  <si>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</si>
  <si>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</si>
  <si>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</si>
  <si>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</si>
  <si>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</si>
  <si>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</si>
  <si>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</si>
  <si>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</si>
  <si>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</si>
  <si>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</si>
  <si>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</si>
  <si>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</si>
  <si>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</si>
  <si>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</si>
  <si>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</si>
  <si>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</si>
  <si>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</si>
  <si>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</si>
  <si>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</si>
  <si>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</si>
  <si>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</si>
  <si>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</si>
  <si>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</si>
  <si>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</si>
  <si>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</si>
  <si>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</si>
  <si>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</si>
  <si>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</si>
  <si>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</si>
  <si>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</si>
  <si>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</si>
  <si>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</si>
  <si>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</si>
  <si>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</si>
  <si>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</si>
  <si>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</si>
  <si>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</si>
  <si>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</si>
  <si>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</si>
  <si>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</si>
  <si>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</si>
  <si>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</si>
  <si>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</si>
  <si>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</si>
  <si>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</si>
  <si>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</si>
  <si>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</si>
  <si>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</si>
  <si>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</si>
  <si>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</si>
  <si>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</si>
  <si>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</si>
  <si>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</si>
  <si>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</si>
  <si>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</si>
  <si>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</si>
  <si>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</si>
  <si>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</si>
  <si>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</si>
  <si>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</si>
  <si>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</si>
  <si>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</si>
  <si>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</si>
  <si>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</si>
  <si>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</si>
  <si>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</si>
  <si>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</si>
  <si>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</si>
  <si>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</si>
  <si>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</si>
  <si>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</si>
  <si>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</si>
  <si>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</si>
  <si>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</si>
  <si>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</si>
  <si>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</si>
  <si>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</si>
  <si>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</si>
  <si>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</si>
  <si>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</si>
  <si>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</si>
  <si>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</si>
  <si>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</si>
  <si>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</si>
  <si>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</si>
  <si>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</si>
  <si>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</si>
  <si>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</si>
  <si>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</si>
  <si>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</si>
  <si>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</si>
  <si>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</si>
  <si>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</si>
  <si>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</si>
  <si>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</si>
  <si>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</si>
  <si>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</si>
  <si>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</si>
  <si>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</si>
  <si>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</si>
  <si>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</si>
  <si>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</si>
  <si>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</si>
  <si>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</si>
  <si>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</si>
  <si>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</si>
  <si>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</si>
  <si>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</si>
  <si>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</si>
  <si>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</si>
  <si>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</si>
  <si>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</si>
  <si>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</si>
  <si>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</si>
  <si>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</si>
  <si>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</si>
  <si>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</si>
  <si>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</si>
  <si>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</si>
  <si>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</si>
  <si>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</si>
  <si>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</si>
  <si>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</si>
  <si>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</si>
  <si>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</si>
  <si>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</si>
  <si>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</si>
  <si>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</si>
  <si>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</si>
  <si>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</si>
  <si>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</si>
  <si>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</si>
  <si>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</si>
  <si>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</si>
  <si>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</si>
  <si>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</si>
  <si>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</si>
  <si>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</si>
  <si>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</si>
  <si>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</si>
  <si>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</si>
  <si>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</si>
  <si>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</si>
  <si>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</si>
  <si>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</si>
  <si>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</si>
  <si>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</si>
  <si>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</si>
  <si>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</si>
  <si>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</si>
  <si>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</si>
  <si>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</si>
  <si>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</si>
  <si>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</si>
  <si>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</si>
  <si>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</si>
  <si>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</si>
  <si>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</si>
  <si>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</si>
  <si>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</si>
  <si>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</si>
  <si>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</si>
  <si>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</si>
  <si>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</si>
  <si>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</si>
  <si>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</si>
  <si>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</si>
  <si>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</si>
  <si>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</si>
  <si>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</si>
  <si>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</si>
  <si>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</si>
  <si>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</si>
  <si>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</si>
  <si>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</si>
  <si>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</si>
  <si>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</si>
  <si>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</si>
  <si>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</si>
  <si>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</si>
  <si>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</si>
  <si>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</si>
  <si>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</si>
  <si>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</si>
  <si>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</si>
  <si>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</si>
  <si>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</si>
  <si>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</si>
  <si>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</si>
  <si>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</si>
  <si>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</si>
  <si>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</si>
  <si>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</si>
  <si>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</si>
  <si>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</si>
  <si>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</si>
  <si>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</si>
  <si>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</si>
  <si>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</si>
  <si>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</si>
  <si>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</si>
  <si>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</si>
  <si>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</si>
  <si>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</si>
  <si>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</si>
  <si>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</si>
  <si>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</si>
  <si>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</si>
  <si>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</si>
  <si>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</si>
  <si>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</si>
  <si>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</si>
  <si>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</si>
  <si>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</si>
  <si>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</si>
  <si>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</si>
  <si>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</si>
  <si>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</si>
  <si>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</si>
  <si>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</si>
  <si>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</si>
  <si>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</si>
  <si>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</si>
  <si>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</si>
  <si>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</si>
  <si>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</si>
  <si>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</si>
  <si>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</si>
  <si>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</si>
  <si>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</si>
  <si>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</si>
  <si>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</si>
  <si>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</si>
  <si>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</si>
  <si>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</si>
  <si>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</si>
  <si>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</si>
  <si>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</si>
  <si>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</si>
  <si>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</si>
  <si>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</si>
  <si>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</si>
  <si>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</si>
  <si>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</si>
  <si>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</si>
  <si>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</si>
  <si>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</si>
  <si>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</si>
  <si>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</si>
  <si>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</si>
  <si>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</si>
  <si>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</si>
  <si>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</si>
  <si>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</si>
  <si>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</si>
  <si>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</si>
  <si>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</si>
  <si>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</si>
  <si>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</si>
  <si>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</si>
  <si>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</si>
  <si>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</si>
  <si>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</si>
  <si>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</si>
  <si>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</si>
  <si>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</si>
  <si>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</si>
  <si>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</si>
  <si>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</si>
  <si>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</si>
  <si>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</si>
  <si>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</si>
  <si>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</si>
  <si>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</si>
  <si>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</si>
  <si>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</si>
  <si>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</si>
  <si>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</si>
  <si>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</si>
  <si>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</si>
  <si>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</si>
  <si>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</si>
  <si>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</si>
  <si>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</si>
  <si>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</si>
  <si>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</si>
  <si>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</si>
  <si>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</si>
  <si>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</si>
  <si>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</si>
  <si>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</si>
  <si>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</si>
  <si>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</si>
  <si>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</si>
  <si>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</si>
  <si>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</si>
  <si>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</si>
  <si>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</si>
  <si>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</si>
  <si>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</si>
  <si>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</si>
  <si>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</si>
  <si>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</si>
  <si>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</si>
  <si>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</si>
  <si>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</si>
  <si>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</si>
  <si>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</si>
  <si>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</si>
  <si>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</si>
  <si>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</si>
  <si>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</si>
  <si>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</si>
  <si>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</si>
  <si>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</si>
  <si>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</si>
  <si>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</si>
  <si>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</si>
  <si>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</si>
  <si>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</si>
  <si>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</si>
  <si>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</si>
  <si>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</si>
  <si>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</si>
  <si>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</si>
  <si>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</si>
  <si>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</si>
  <si>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</si>
  <si>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</si>
  <si>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</si>
  <si>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</si>
  <si>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</si>
  <si>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</si>
  <si>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</si>
  <si>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</si>
  <si>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</si>
  <si>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</si>
  <si>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</si>
  <si>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</si>
  <si>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</si>
  <si>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</si>
  <si>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</si>
  <si>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</si>
  <si>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</si>
  <si>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</si>
  <si>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</si>
  <si>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</si>
  <si>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</si>
  <si>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</si>
  <si>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</si>
  <si>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</si>
  <si>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</si>
  <si>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</si>
  <si>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</si>
  <si>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</si>
  <si>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</si>
  <si>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</si>
  <si>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</si>
  <si>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</si>
  <si>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</si>
  <si>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</si>
  <si>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</si>
  <si>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</si>
  <si>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</si>
  <si>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</si>
  <si>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</si>
  <si>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</si>
  <si>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</si>
  <si>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</si>
  <si>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</si>
  <si>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</si>
  <si>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</si>
  <si>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</si>
  <si>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</si>
  <si>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</si>
  <si>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</si>
  <si>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</si>
  <si>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</si>
  <si>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</si>
  <si>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</si>
  <si>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</si>
  <si>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</si>
  <si>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</si>
  <si>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</si>
  <si>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</si>
  <si>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</si>
  <si>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</si>
  <si>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</si>
  <si>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</si>
  <si>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</si>
  <si>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</si>
  <si>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</si>
  <si>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</si>
  <si>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</si>
  <si>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</si>
  <si>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</si>
  <si>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</si>
  <si>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</si>
  <si>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</si>
  <si>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</si>
  <si>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</si>
  <si>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</si>
  <si>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</si>
  <si>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</si>
  <si>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</si>
  <si>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</si>
  <si>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</si>
  <si>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</si>
  <si>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</si>
  <si>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</si>
  <si>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</si>
  <si>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</si>
  <si>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</si>
  <si>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</si>
  <si>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</si>
  <si>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</si>
  <si>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</si>
  <si>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</si>
  <si>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</si>
  <si>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</si>
  <si>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</si>
  <si>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</si>
  <si>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</si>
  <si>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</si>
  <si>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</si>
  <si>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</si>
  <si>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</si>
  <si>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</si>
  <si>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</si>
  <si>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</si>
  <si>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</si>
  <si>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</si>
  <si>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</si>
  <si>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</si>
  <si>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</si>
  <si>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</si>
  <si>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</si>
  <si>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</si>
  <si>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</si>
  <si>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</si>
  <si>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</si>
  <si>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</si>
  <si>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</si>
  <si>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</si>
  <si>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</si>
  <si>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</si>
  <si>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</si>
  <si>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</si>
  <si>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</si>
  <si>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</si>
  <si>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</si>
  <si>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</si>
  <si>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</si>
  <si>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</si>
  <si>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</si>
  <si>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</si>
  <si>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</si>
  <si>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</si>
  <si>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</si>
  <si>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</si>
  <si>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</si>
  <si>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</si>
  <si>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</si>
  <si>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</si>
  <si>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</si>
  <si>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</si>
  <si>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</si>
  <si>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</si>
  <si>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</si>
  <si>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</si>
  <si>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</si>
  <si>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</si>
  <si>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</si>
  <si>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</si>
  <si>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</si>
  <si>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</si>
  <si>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</si>
  <si>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</si>
  <si>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</si>
  <si>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</si>
  <si>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</si>
  <si>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</si>
  <si>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</si>
  <si>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</si>
  <si>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</si>
  <si>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</si>
  <si>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</si>
  <si>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</si>
  <si>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</si>
  <si>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</si>
  <si>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</si>
  <si>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</si>
  <si>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</si>
  <si>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</si>
  <si>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</si>
  <si>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</si>
  <si>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</si>
  <si>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</si>
  <si>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</si>
  <si>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</si>
  <si>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</si>
  <si>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</si>
  <si>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</si>
  <si>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</si>
  <si>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</si>
  <si>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</si>
  <si>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</si>
  <si>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</si>
  <si>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</si>
  <si>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</si>
  <si>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</si>
  <si>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</si>
  <si>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</si>
  <si>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</si>
  <si>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</si>
  <si>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</si>
  <si>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</si>
  <si>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</si>
  <si>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</si>
  <si>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</si>
  <si>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</si>
  <si>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</si>
  <si>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</si>
  <si>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</si>
  <si>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</si>
  <si>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</si>
  <si>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</si>
  <si>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</si>
  <si>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</si>
  <si>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</si>
  <si>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</si>
  <si>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</si>
  <si>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</si>
  <si>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</si>
  <si>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</si>
  <si>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</si>
  <si>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</si>
  <si>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</si>
  <si>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</si>
  <si>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</si>
  <si>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</si>
  <si>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</si>
  <si>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</si>
  <si>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</si>
  <si>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</si>
  <si>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</si>
  <si>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</si>
  <si>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</si>
  <si>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</si>
  <si>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</si>
  <si>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</si>
  <si>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</si>
  <si>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</si>
  <si>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</si>
  <si>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</si>
  <si>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</si>
  <si>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</si>
  <si>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</si>
  <si>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</si>
  <si>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</si>
  <si>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</si>
  <si>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</si>
  <si>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</si>
  <si>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</si>
  <si>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</si>
  <si>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</si>
  <si>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</si>
  <si>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</si>
  <si>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</si>
  <si>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</si>
  <si>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</si>
  <si>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</si>
  <si>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</si>
  <si>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</si>
  <si>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</si>
  <si>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</si>
  <si>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</si>
  <si>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</si>
  <si>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</si>
  <si>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</si>
  <si>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</si>
  <si>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</si>
  <si>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</si>
  <si>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</si>
  <si>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</si>
  <si>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</si>
  <si>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</si>
  <si>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</si>
  <si>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</si>
  <si>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</si>
  <si>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</si>
  <si>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</si>
  <si>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</si>
  <si>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</si>
  <si>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</si>
  <si>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</si>
  <si>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</si>
  <si>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</si>
  <si>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</si>
  <si>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</si>
  <si>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</si>
  <si>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</si>
  <si>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</si>
  <si>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</si>
  <si>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</si>
  <si>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</si>
  <si>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</si>
  <si>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</si>
  <si>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</si>
  <si>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</si>
  <si>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</si>
  <si>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</si>
  <si>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</si>
  <si>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</si>
  <si>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</si>
  <si>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</si>
  <si>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</si>
  <si>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</si>
  <si>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</si>
  <si>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</si>
  <si>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</si>
  <si>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</si>
  <si>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</si>
  <si>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</si>
  <si>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</si>
  <si>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</si>
  <si>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</si>
  <si>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</si>
  <si>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</si>
  <si>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</si>
  <si>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</si>
  <si>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</si>
  <si>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</si>
  <si>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</si>
  <si>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</si>
  <si>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</si>
  <si>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</si>
  <si>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</si>
  <si>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</si>
  <si>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</si>
  <si>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</si>
  <si>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</si>
  <si>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</si>
  <si>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</si>
  <si>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</si>
  <si>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</si>
  <si>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</si>
  <si>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</si>
  <si>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</si>
  <si>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</si>
  <si>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</si>
  <si>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</si>
  <si>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</si>
  <si>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</si>
  <si>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</si>
  <si>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</si>
  <si>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</si>
  <si>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</si>
  <si>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</si>
  <si>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</si>
  <si>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</si>
  <si>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</si>
  <si>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</si>
  <si>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</si>
  <si>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</si>
  <si>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</si>
  <si>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</si>
  <si>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</si>
  <si>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</si>
  <si>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</si>
  <si>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</si>
  <si>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</si>
  <si>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</si>
  <si>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</si>
  <si>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</si>
  <si>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</si>
  <si>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</si>
  <si>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</si>
  <si>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</si>
  <si>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</si>
  <si>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</si>
  <si>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</si>
  <si>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</si>
  <si>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</si>
  <si>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</si>
  <si>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</si>
  <si>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</si>
  <si>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</si>
  <si>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</si>
  <si>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</si>
  <si>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</si>
  <si>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</si>
  <si>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</si>
  <si>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</si>
  <si>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</si>
  <si>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</si>
  <si>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</si>
  <si>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</si>
  <si>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</si>
  <si>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</si>
  <si>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</si>
  <si>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</si>
  <si>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</si>
  <si>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</si>
  <si>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</si>
  <si>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</si>
  <si>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</si>
  <si>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</si>
  <si>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</si>
  <si>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</si>
  <si>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</si>
  <si>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</si>
  <si>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</si>
  <si>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</si>
  <si>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</si>
  <si>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</si>
  <si>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</si>
  <si>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</si>
  <si>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</si>
  <si>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</si>
  <si>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</si>
  <si>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</si>
  <si>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</si>
  <si>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</si>
  <si>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</si>
  <si>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</si>
  <si>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</si>
  <si>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</si>
  <si>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</si>
  <si>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</si>
  <si>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</si>
  <si>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</si>
  <si>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</si>
  <si>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</si>
  <si>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</si>
  <si>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</si>
  <si>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</si>
  <si>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</si>
  <si>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</si>
  <si>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</si>
  <si>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</si>
  <si>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</si>
  <si>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</si>
  <si>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</si>
  <si>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</si>
  <si>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</si>
  <si>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</si>
  <si>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</si>
  <si>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</si>
  <si>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</si>
  <si>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</si>
  <si>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</si>
  <si>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</si>
  <si>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</si>
  <si>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</si>
  <si>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</si>
  <si>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</si>
  <si>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</si>
  <si>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</si>
  <si>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</si>
  <si>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</si>
  <si>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</si>
  <si>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</si>
  <si>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</si>
  <si>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</si>
  <si>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</si>
  <si>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</si>
  <si>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</si>
  <si>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</si>
  <si>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</si>
  <si>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</si>
  <si>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</si>
  <si>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</si>
  <si>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</si>
  <si>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</si>
  <si>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</si>
  <si>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</si>
  <si>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</si>
  <si>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</si>
  <si>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</si>
  <si>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</si>
  <si>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</si>
  <si>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</si>
  <si>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</si>
  <si>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</si>
  <si>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</si>
  <si>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</si>
  <si>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</si>
  <si>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</si>
  <si>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</si>
  <si>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</si>
  <si>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</si>
  <si>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</si>
  <si>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</si>
  <si>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</si>
  <si>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</si>
  <si>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</si>
  <si>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</si>
  <si>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</si>
  <si>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</si>
  <si>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</si>
  <si>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</si>
  <si>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</si>
  <si>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</si>
  <si>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</si>
  <si>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</si>
  <si>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</si>
  <si>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</si>
  <si>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</si>
  <si>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</si>
  <si>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</si>
  <si>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</si>
  <si>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</si>
  <si>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</si>
  <si>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</si>
  <si>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</si>
  <si>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</si>
  <si>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</si>
  <si>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</si>
  <si>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</si>
  <si>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</si>
  <si>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</si>
  <si>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</si>
  <si>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</si>
  <si>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</si>
  <si>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</si>
  <si>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</si>
  <si>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</si>
  <si>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</si>
  <si>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</si>
  <si>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</si>
  <si>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</si>
  <si>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</si>
  <si>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</si>
  <si>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</si>
  <si>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</si>
  <si>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</si>
  <si>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</si>
  <si>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</si>
  <si>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</si>
  <si>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</si>
  <si>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</si>
  <si>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</si>
  <si>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</si>
  <si>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</si>
  <si>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</si>
  <si>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</si>
  <si>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</si>
  <si>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</si>
  <si>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</si>
  <si>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</si>
  <si>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</si>
  <si>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</si>
  <si>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</si>
  <si>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</si>
  <si>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</si>
  <si>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</si>
  <si>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</si>
  <si>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</si>
  <si>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</si>
  <si>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</si>
  <si>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</si>
  <si>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</si>
  <si>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</si>
  <si>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</si>
  <si>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</si>
  <si>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</si>
  <si>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</si>
  <si>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</si>
  <si>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</si>
  <si>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</si>
  <si>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</si>
  <si>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</si>
  <si>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</si>
  <si>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</si>
  <si>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</si>
  <si>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</si>
  <si>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</si>
  <si>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</si>
  <si>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</si>
  <si>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</si>
  <si>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</si>
  <si>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</si>
  <si>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</si>
  <si>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</si>
  <si>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</si>
  <si>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</si>
  <si>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</si>
  <si>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</si>
  <si>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</si>
  <si>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</si>
  <si>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</si>
  <si>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</si>
  <si>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</si>
  <si>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</si>
  <si>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</si>
  <si>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</si>
  <si>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</si>
  <si>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</si>
  <si>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</si>
  <si>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</si>
  <si>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</si>
  <si>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</si>
  <si>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</si>
  <si>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</si>
  <si>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</si>
  <si>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</si>
  <si>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</si>
  <si>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</si>
  <si>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</si>
  <si>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</si>
  <si>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</si>
  <si>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</si>
  <si>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</si>
  <si>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</si>
  <si>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</si>
  <si>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</si>
  <si>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</si>
  <si>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</si>
  <si>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</si>
  <si>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</si>
  <si>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</si>
  <si>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</si>
  <si>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</si>
  <si>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</si>
  <si>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</si>
  <si>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</si>
  <si>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</si>
  <si>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</si>
  <si>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</si>
  <si>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</si>
  <si>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</si>
  <si>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</si>
  <si>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</si>
  <si>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</si>
  <si>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</si>
  <si>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</si>
  <si>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</si>
  <si>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</si>
  <si>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</si>
  <si>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</si>
  <si>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</si>
  <si>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</si>
  <si>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</si>
  <si>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</si>
  <si>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</si>
  <si>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</si>
  <si>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</si>
  <si>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</si>
  <si>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</si>
  <si>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</si>
  <si>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</si>
  <si>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</si>
  <si>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</si>
  <si>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</si>
  <si>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</si>
  <si>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</si>
  <si>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</si>
  <si>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</si>
  <si>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</si>
  <si>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</si>
  <si>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</si>
  <si>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</si>
  <si>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</si>
  <si>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</si>
  <si>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</si>
  <si>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</si>
  <si>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</si>
  <si>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</si>
  <si>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</si>
  <si>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</si>
  <si>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</si>
  <si>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</si>
  <si>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</si>
  <si>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</si>
  <si>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</si>
  <si>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</si>
  <si>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</si>
  <si>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</si>
  <si>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</si>
  <si>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</si>
  <si>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</si>
  <si>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</si>
  <si>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</si>
  <si>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</si>
  <si>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</si>
  <si>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</si>
  <si>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</si>
  <si>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</si>
  <si>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</si>
  <si>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</si>
  <si>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</si>
  <si>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</si>
  <si>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</si>
  <si>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</si>
  <si>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</si>
  <si>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</si>
  <si>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</si>
  <si>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</si>
  <si>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</si>
  <si>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</si>
  <si>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</si>
  <si>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</si>
  <si>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</si>
  <si>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</si>
  <si>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</si>
  <si>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</si>
  <si>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</si>
  <si>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</si>
  <si>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</si>
  <si>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</si>
  <si>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</si>
  <si>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</si>
  <si>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</si>
  <si>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</si>
  <si>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</si>
  <si>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</si>
  <si>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</si>
  <si>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</si>
  <si>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</si>
  <si>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</si>
  <si>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</si>
  <si>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</si>
  <si>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</si>
  <si>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</si>
  <si>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</si>
  <si>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</si>
  <si>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</si>
  <si>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</si>
  <si>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</si>
  <si>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</si>
  <si>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</si>
  <si>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</si>
  <si>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</si>
  <si>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</si>
  <si>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</si>
  <si>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</si>
  <si>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</si>
  <si>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</si>
  <si>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</si>
  <si>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</si>
  <si>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</si>
  <si>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</si>
  <si>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</si>
  <si>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</si>
  <si>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</si>
  <si>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</si>
  <si>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</si>
  <si>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</si>
  <si>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</si>
  <si>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</si>
  <si>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</si>
  <si>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</si>
  <si>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</si>
  <si>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</si>
  <si>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</si>
  <si>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</si>
  <si>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</si>
  <si>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</si>
  <si>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</si>
  <si>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</si>
  <si>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</si>
  <si>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</si>
  <si>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</si>
  <si>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</si>
  <si>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</si>
  <si>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</si>
  <si>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</si>
  <si>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</si>
  <si>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</si>
  <si>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</si>
  <si>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</si>
  <si>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</si>
  <si>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</si>
  <si>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</si>
  <si>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</si>
  <si>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</si>
  <si>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</si>
  <si>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</si>
  <si>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</si>
  <si>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</si>
  <si>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</si>
  <si>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</si>
  <si>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</si>
  <si>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</si>
  <si>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</si>
  <si>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</si>
  <si>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</si>
  <si>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</si>
  <si>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</si>
  <si>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</si>
  <si>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</si>
  <si>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</si>
  <si>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</si>
  <si>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</si>
  <si>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</si>
  <si>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</si>
  <si>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</si>
  <si>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</si>
  <si>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</si>
  <si>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</si>
  <si>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</si>
  <si>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</si>
  <si>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</si>
  <si>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</si>
  <si>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</si>
  <si>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</si>
  <si>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</si>
  <si>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</si>
  <si>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</si>
  <si>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</si>
  <si>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</si>
  <si>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</si>
  <si>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</si>
  <si>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</si>
  <si>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</si>
  <si>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</si>
  <si>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</si>
  <si>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</si>
  <si>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</si>
  <si>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</si>
  <si>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</si>
  <si>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</si>
  <si>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</si>
  <si>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</si>
  <si>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</si>
  <si>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</si>
  <si>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</si>
  <si>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</si>
  <si>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</si>
  <si>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</si>
  <si>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</si>
  <si>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</si>
  <si>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</si>
  <si>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</si>
  <si>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</si>
  <si>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</si>
  <si>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</si>
  <si>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</si>
  <si>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</si>
  <si>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</si>
  <si>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</si>
  <si>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</si>
  <si>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</si>
  <si>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</si>
  <si>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</si>
  <si>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</si>
  <si>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</si>
  <si>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</si>
  <si>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</si>
  <si>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</si>
  <si>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</si>
  <si>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</si>
  <si>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</si>
  <si>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</si>
  <si>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</si>
  <si>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</si>
  <si>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</si>
  <si>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</si>
  <si>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</si>
  <si>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</si>
  <si>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</si>
  <si>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</si>
  <si>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</si>
  <si>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</si>
  <si>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</si>
  <si>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</si>
  <si>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</si>
  <si>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</si>
  <si>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</si>
  <si>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</si>
  <si>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</si>
  <si>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</si>
  <si>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</si>
  <si>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</si>
  <si>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</si>
  <si>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</si>
  <si>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</si>
  <si>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</si>
  <si>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</si>
  <si>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</si>
  <si>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</si>
  <si>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</si>
  <si>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</si>
  <si>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</si>
  <si>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</si>
  <si>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</si>
  <si>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</si>
  <si>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</si>
  <si>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</si>
  <si>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</si>
  <si>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</si>
  <si>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</si>
  <si>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</si>
  <si>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</si>
  <si>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</si>
  <si>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</si>
  <si>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</si>
  <si>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</si>
  <si>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</si>
  <si>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</si>
  <si>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</si>
  <si>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</si>
  <si>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</si>
  <si>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</si>
  <si>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</si>
  <si>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</si>
  <si>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</si>
  <si>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</si>
  <si>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</si>
  <si>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</si>
  <si>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</si>
  <si>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</si>
  <si>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</si>
  <si>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</si>
  <si>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</si>
  <si>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</si>
  <si>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</si>
  <si>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</si>
  <si>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</si>
  <si>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</si>
  <si>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</si>
  <si>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</si>
  <si>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</si>
  <si>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</si>
  <si>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</si>
  <si>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</si>
  <si>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</si>
  <si>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</si>
  <si>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</si>
  <si>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</si>
  <si>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</si>
  <si>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</si>
  <si>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</si>
  <si>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</si>
  <si>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</si>
  <si>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</si>
  <si>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</si>
  <si>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</si>
  <si>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</si>
  <si>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</si>
  <si>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</si>
  <si>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</si>
  <si>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</si>
  <si>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</si>
  <si>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</si>
  <si>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</si>
  <si>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</si>
  <si>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</si>
  <si>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</si>
  <si>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</si>
  <si>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</si>
  <si>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</si>
  <si>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</si>
  <si>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</si>
  <si>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</si>
  <si>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</si>
  <si>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</si>
  <si>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</si>
  <si>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</si>
  <si>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</si>
  <si>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</si>
  <si>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</si>
  <si>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</si>
  <si>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</si>
  <si>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</si>
  <si>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</si>
  <si>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</si>
  <si>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</si>
  <si>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</si>
  <si>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</si>
  <si>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</si>
  <si>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</si>
  <si>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</si>
  <si>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</si>
  <si>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</si>
  <si>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</si>
  <si>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</si>
  <si>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</si>
  <si>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</si>
  <si>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</si>
  <si>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</si>
  <si>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</si>
  <si>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</si>
  <si>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</si>
  <si>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</si>
  <si>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</si>
  <si>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</si>
  <si>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</si>
  <si>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</si>
  <si>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</si>
  <si>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</si>
  <si>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</si>
  <si>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</si>
  <si>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</si>
  <si>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</si>
  <si>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</si>
  <si>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</si>
  <si>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</si>
  <si>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</si>
  <si>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</si>
  <si>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</si>
  <si>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</si>
  <si>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</si>
  <si>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</si>
  <si>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</si>
  <si>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</si>
  <si>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</si>
  <si>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</si>
  <si>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</si>
  <si>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</si>
  <si>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</si>
  <si>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</si>
  <si>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</si>
  <si>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</si>
  <si>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</si>
  <si>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</si>
  <si>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</si>
  <si>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</si>
  <si>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</si>
  <si>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</si>
  <si>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</si>
  <si>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</si>
  <si>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</si>
  <si>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</si>
  <si>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</si>
  <si>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</si>
  <si>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</si>
  <si>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</si>
  <si>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</si>
  <si>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</si>
  <si>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</si>
  <si>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</si>
  <si>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</si>
  <si>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</si>
  <si>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</si>
  <si>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</si>
  <si>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</si>
  <si>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</si>
  <si>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</si>
  <si>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</si>
  <si>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</si>
  <si>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</si>
  <si>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</si>
  <si>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</si>
  <si>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</si>
  <si>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</si>
  <si>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</si>
  <si>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</si>
  <si>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</si>
  <si>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</si>
  <si>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</si>
  <si>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</si>
  <si>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</si>
  <si>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</si>
  <si>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</si>
  <si>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</si>
  <si>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</si>
  <si>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</si>
  <si>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</si>
  <si>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</si>
  <si>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</si>
  <si>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</si>
  <si>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</si>
  <si>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</si>
  <si>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</si>
  <si>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</si>
  <si>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</si>
  <si>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</si>
  <si>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</si>
  <si>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</si>
  <si>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</si>
  <si>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</si>
  <si>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</si>
  <si>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</si>
  <si>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</si>
  <si>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</si>
  <si>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</si>
  <si>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</si>
  <si>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</si>
  <si>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</si>
  <si>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</si>
  <si>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</si>
  <si>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</si>
  <si>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</si>
  <si>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</si>
  <si>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</si>
  <si>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</si>
  <si>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</si>
  <si>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</si>
  <si>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</si>
  <si>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</si>
  <si>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</si>
  <si>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</si>
  <si>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</si>
  <si>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</si>
  <si>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</si>
  <si>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</si>
  <si>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</si>
  <si>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</si>
  <si>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</si>
  <si>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</si>
  <si>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</si>
  <si>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</si>
  <si>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</si>
  <si>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</si>
  <si>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</si>
  <si>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</si>
  <si>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</si>
  <si>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</si>
  <si>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</si>
  <si>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</si>
  <si>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</si>
  <si>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</si>
  <si>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</si>
  <si>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</si>
  <si>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</si>
  <si>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</si>
  <si>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</si>
  <si>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</si>
  <si>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</si>
  <si>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</si>
  <si>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</si>
  <si>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</si>
  <si>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</si>
  <si>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</si>
  <si>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</si>
  <si>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</si>
  <si>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</si>
  <si>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</si>
  <si>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</si>
  <si>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</si>
  <si>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</si>
  <si>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</si>
  <si>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</si>
  <si>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</si>
  <si>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</si>
  <si>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</si>
  <si>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</si>
  <si>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</si>
  <si>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</si>
  <si>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</si>
  <si>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</si>
  <si>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</si>
  <si>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</si>
  <si>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</si>
  <si>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</si>
  <si>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</si>
  <si>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</si>
  <si>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</si>
  <si>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</si>
  <si>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</si>
  <si>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</si>
  <si>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</si>
  <si>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</si>
  <si>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</si>
  <si>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</si>
  <si>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</si>
  <si>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</si>
  <si>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</si>
  <si>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</si>
  <si>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</si>
  <si>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</si>
  <si>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</si>
  <si>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</si>
  <si>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</si>
  <si>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</si>
  <si>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</si>
  <si>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</si>
  <si>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</si>
  <si>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</si>
  <si>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</si>
  <si>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</si>
  <si>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</si>
  <si>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</si>
  <si>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</si>
  <si>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</si>
  <si>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</si>
  <si>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</si>
  <si>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</si>
  <si>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</si>
  <si>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</si>
  <si>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</si>
  <si>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</si>
  <si>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</si>
  <si>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</si>
  <si>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</si>
  <si>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</si>
  <si>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</si>
  <si>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</si>
  <si>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</si>
  <si>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</si>
  <si>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</si>
  <si>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</si>
  <si>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</si>
  <si>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</si>
  <si>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</si>
  <si>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</si>
  <si>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</si>
  <si>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</si>
  <si>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</si>
  <si>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</si>
  <si>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</si>
  <si>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</si>
  <si>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</si>
  <si>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</si>
  <si>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</si>
  <si>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</si>
  <si>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</si>
  <si>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</si>
  <si>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</si>
  <si>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</si>
  <si>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</si>
  <si>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</si>
  <si>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</si>
  <si>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</si>
  <si>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</si>
  <si>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</si>
  <si>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</si>
  <si>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</si>
  <si>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</si>
  <si>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</si>
  <si>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</si>
  <si>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</si>
  <si>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</si>
  <si>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</si>
  <si>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</si>
  <si>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</si>
  <si>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</si>
  <si>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</si>
  <si>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</si>
  <si>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</si>
  <si>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</si>
  <si>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</si>
  <si>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</si>
  <si>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</si>
  <si>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</si>
  <si>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</si>
  <si>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</si>
  <si>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</si>
  <si>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</si>
  <si>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</si>
  <si>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</si>
  <si>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</si>
  <si>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</si>
  <si>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</si>
  <si>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</si>
  <si>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</si>
  <si>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</si>
  <si>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</si>
  <si>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</si>
  <si>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</si>
  <si>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</si>
  <si>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</si>
  <si>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</si>
  <si>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</si>
  <si>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</si>
  <si>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</si>
  <si>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</si>
  <si>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</si>
  <si>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</si>
  <si>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</si>
  <si>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</si>
  <si>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</si>
  <si>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</si>
  <si>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</si>
  <si>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</si>
  <si>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</si>
  <si>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</si>
  <si>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</si>
  <si>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</si>
  <si>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</si>
  <si>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</si>
  <si>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</si>
  <si>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</si>
  <si>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</si>
  <si>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</si>
  <si>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</si>
  <si>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</si>
  <si>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</si>
  <si>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</si>
  <si>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</si>
  <si>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</si>
  <si>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</si>
  <si>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</si>
  <si>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</si>
  <si>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</si>
  <si>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</si>
  <si>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</si>
  <si>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</si>
  <si>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</si>
  <si>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</si>
  <si>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</si>
  <si>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</si>
  <si>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</si>
  <si>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</si>
  <si>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</si>
  <si>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</si>
  <si>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</si>
  <si>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</si>
  <si>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</si>
  <si>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</si>
  <si>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</si>
  <si>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</si>
  <si>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</si>
  <si>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</si>
  <si>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</si>
  <si>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</si>
  <si>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</si>
  <si>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</si>
  <si>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</si>
  <si>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</si>
  <si>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</si>
  <si>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</si>
  <si>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</si>
  <si>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</si>
  <si>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</si>
  <si>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</si>
  <si>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</si>
  <si>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</si>
  <si>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</si>
  <si>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</si>
  <si>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</si>
  <si>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</si>
  <si>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</si>
  <si>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</si>
  <si>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</si>
  <si>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</si>
  <si>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</si>
  <si>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</si>
  <si>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</si>
  <si>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</si>
  <si>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</si>
  <si>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</si>
  <si>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</si>
  <si>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</si>
  <si>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</si>
  <si>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</si>
  <si>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</si>
  <si>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</si>
  <si>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</si>
  <si>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</si>
  <si>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</si>
  <si>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</si>
  <si>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</si>
  <si>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</si>
  <si>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</si>
  <si>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</si>
  <si>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</si>
  <si>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</si>
  <si>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</si>
  <si>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</si>
  <si>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</si>
  <si>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</si>
  <si>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</si>
  <si>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</si>
  <si>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</si>
  <si>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</si>
  <si>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</si>
  <si>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</si>
  <si>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</si>
  <si>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</si>
  <si>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</si>
  <si>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</si>
  <si>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</si>
  <si>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</si>
  <si>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</si>
  <si>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</si>
  <si>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</si>
  <si>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</si>
  <si>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</si>
  <si>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</si>
  <si>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</si>
  <si>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</si>
  <si>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</si>
  <si>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</si>
  <si>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</si>
  <si>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</si>
  <si>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</si>
  <si>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</si>
  <si>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</si>
  <si>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</si>
  <si>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</si>
  <si>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</si>
  <si>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</si>
  <si>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</si>
  <si>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</si>
  <si>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</si>
  <si>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</si>
  <si>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</si>
  <si>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</si>
  <si>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</si>
  <si>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</si>
  <si>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</si>
  <si>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</si>
  <si>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</si>
  <si>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</si>
  <si>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</si>
  <si>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</si>
  <si>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</si>
  <si>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</si>
  <si>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</si>
  <si>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</si>
  <si>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</si>
  <si>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</si>
  <si>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</si>
  <si>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</si>
  <si>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</si>
  <si>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</si>
  <si>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</si>
  <si>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</si>
  <si>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</si>
  <si>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</si>
  <si>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</si>
  <si>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</si>
  <si>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</si>
  <si>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</si>
  <si>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</si>
  <si>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</si>
  <si>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</si>
  <si>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</si>
  <si>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</si>
  <si>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</si>
  <si>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</si>
  <si>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</si>
  <si>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</si>
  <si>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</si>
  <si>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</si>
  <si>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</si>
  <si>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</si>
  <si>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</si>
  <si>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</si>
  <si>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</si>
  <si>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</si>
  <si>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</si>
  <si>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</si>
  <si>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</si>
  <si>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</si>
  <si>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</si>
  <si>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</si>
  <si>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</si>
  <si>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</si>
  <si>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</si>
  <si>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</si>
  <si>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</si>
  <si>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</si>
  <si>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</si>
  <si>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</si>
  <si>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</si>
  <si>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</si>
  <si>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</si>
  <si>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</si>
  <si>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</si>
  <si>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</si>
  <si>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</si>
  <si>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</si>
  <si>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</si>
  <si>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</si>
  <si>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</si>
  <si>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</si>
  <si>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</si>
  <si>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</si>
  <si>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</si>
  <si>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</si>
  <si>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</si>
  <si>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</si>
  <si>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</si>
  <si>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</si>
  <si>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</si>
  <si>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</si>
  <si>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</si>
  <si>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</si>
  <si>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</si>
  <si>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</si>
  <si>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</si>
  <si>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</si>
  <si>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</si>
  <si>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</si>
  <si>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</si>
  <si>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</si>
  <si>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</si>
  <si>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</si>
  <si>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</si>
  <si>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</si>
  <si>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</si>
  <si>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</si>
  <si>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</si>
  <si>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</si>
  <si>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</si>
  <si>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</si>
  <si>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</si>
  <si>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</si>
  <si>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</si>
  <si>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</si>
  <si>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</si>
  <si>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</si>
  <si>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</si>
  <si>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</si>
  <si>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</si>
  <si>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</si>
  <si>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</si>
  <si>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</si>
  <si>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</si>
  <si>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</si>
  <si>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</si>
  <si>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</si>
  <si>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</si>
  <si>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</si>
  <si>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</si>
  <si>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</si>
  <si>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</si>
  <si>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</si>
  <si>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</si>
  <si>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</si>
  <si>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</si>
  <si>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</si>
  <si>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</si>
  <si>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</si>
  <si>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</si>
  <si>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</si>
  <si>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</si>
  <si>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</si>
  <si>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</si>
  <si>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</si>
  <si>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</si>
  <si>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</si>
  <si>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</si>
  <si>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</si>
  <si>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</si>
  <si>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</si>
  <si>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</si>
  <si>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</si>
  <si>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</si>
  <si>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</si>
  <si>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</si>
  <si>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</si>
  <si>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</si>
  <si>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</si>
  <si>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</si>
  <si>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</si>
  <si>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</si>
  <si>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</si>
  <si>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</si>
  <si>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</si>
  <si>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</si>
  <si>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</si>
  <si>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</si>
  <si>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</si>
  <si>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</si>
  <si>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</si>
  <si>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</si>
  <si>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</si>
  <si>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</si>
  <si>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</si>
  <si>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</si>
  <si>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</si>
  <si>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</si>
  <si>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</si>
  <si>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</si>
  <si>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</si>
  <si>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</si>
  <si>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</si>
  <si>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</si>
  <si>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</si>
  <si>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</si>
  <si>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</si>
  <si>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</si>
  <si>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</si>
  <si>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</si>
  <si>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</si>
  <si>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</si>
  <si>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</si>
  <si>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</si>
  <si>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</si>
  <si>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</si>
  <si>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</si>
  <si>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</si>
  <si>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</si>
  <si>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</si>
  <si>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</si>
  <si>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</si>
  <si>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</si>
  <si>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</si>
  <si>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</si>
  <si>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</si>
  <si>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</si>
  <si>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</si>
  <si>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</si>
  <si>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</si>
  <si>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</si>
  <si>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</si>
  <si>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</si>
  <si>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</si>
  <si>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</si>
  <si>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</si>
  <si>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</si>
  <si>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</si>
  <si>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</si>
  <si>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</si>
  <si>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</si>
  <si>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</si>
  <si>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</si>
  <si>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</si>
  <si>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</si>
  <si>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</si>
  <si>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</si>
  <si>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</si>
  <si>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</si>
  <si>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</si>
  <si>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</si>
  <si>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</si>
  <si>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</si>
  <si>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</si>
  <si>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</si>
  <si>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</si>
  <si>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</si>
  <si>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</si>
  <si>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</si>
  <si>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</si>
  <si>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</si>
  <si>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</si>
  <si>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</si>
  <si>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</si>
  <si>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</si>
  <si>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</si>
  <si>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</si>
  <si>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</si>
  <si>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</si>
  <si>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</si>
  <si>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</si>
  <si>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</si>
  <si>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</si>
  <si>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</si>
  <si>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</si>
  <si>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</si>
  <si>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</si>
  <si>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</si>
  <si>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</si>
  <si>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</si>
  <si>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</si>
  <si>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</si>
  <si>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</si>
  <si>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</si>
  <si>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</si>
  <si>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</si>
  <si>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</si>
  <si>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</si>
  <si>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</si>
  <si>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</si>
  <si>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</si>
  <si>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</si>
  <si>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</si>
  <si>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</si>
  <si>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</si>
  <si>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</si>
  <si>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</si>
  <si>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</si>
  <si>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</si>
  <si>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</si>
  <si>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</si>
  <si>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</si>
  <si>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</si>
  <si>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</si>
  <si>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</si>
  <si>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</si>
  <si>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</si>
  <si>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</si>
  <si>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</si>
  <si>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</si>
  <si>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</si>
  <si>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</si>
  <si>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</si>
  <si>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</si>
  <si>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</si>
  <si>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</si>
  <si>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</si>
  <si>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</si>
  <si>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</si>
  <si>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</si>
  <si>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</si>
  <si>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</si>
  <si>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</si>
  <si>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</si>
  <si>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</si>
  <si>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</si>
  <si>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</si>
  <si>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</si>
  <si>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</si>
  <si>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</si>
  <si>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</si>
  <si>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</si>
  <si>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</si>
  <si>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</si>
  <si>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</si>
  <si>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</si>
  <si>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</si>
  <si>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</si>
  <si>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</si>
  <si>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</si>
  <si>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</si>
  <si>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</si>
  <si>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</si>
  <si>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</si>
  <si>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</si>
  <si>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</si>
  <si>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</si>
  <si>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</si>
  <si>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</si>
  <si>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</si>
  <si>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</si>
  <si>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</si>
  <si>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</si>
  <si>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</si>
  <si>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</si>
  <si>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</si>
  <si>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</si>
  <si>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</si>
  <si>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</si>
  <si>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</si>
  <si>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</si>
  <si>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</si>
  <si>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</si>
  <si>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</si>
  <si>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</si>
  <si>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</si>
  <si>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</si>
  <si>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</si>
  <si>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</si>
  <si>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</si>
  <si>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</si>
  <si>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</si>
  <si>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</si>
  <si>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</si>
  <si>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</si>
  <si>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</si>
  <si>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</si>
  <si>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</si>
  <si>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</si>
  <si>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</si>
  <si>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</si>
  <si>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</si>
  <si>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</si>
  <si>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</si>
  <si>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</si>
  <si>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</si>
  <si>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</si>
  <si>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</si>
  <si>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</si>
  <si>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</si>
  <si>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</si>
  <si>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</si>
  <si>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</si>
  <si>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</si>
  <si>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</si>
  <si>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</si>
  <si>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</si>
  <si>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</si>
  <si>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</si>
  <si>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</si>
  <si>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</si>
  <si>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</si>
  <si>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</si>
  <si>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</si>
  <si>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</si>
  <si>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</si>
  <si>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</si>
  <si>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</si>
  <si>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</si>
  <si>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</si>
  <si>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</si>
  <si>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</si>
  <si>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</si>
  <si>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</si>
  <si>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</si>
  <si>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</si>
  <si>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</si>
  <si>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</si>
  <si>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</si>
  <si>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</si>
  <si>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</si>
  <si>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</si>
  <si>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</si>
  <si>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</si>
  <si>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</si>
  <si>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</si>
  <si>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</si>
  <si>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</si>
  <si>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</si>
  <si>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</si>
  <si>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</si>
  <si>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</si>
  <si>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</si>
  <si>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</si>
  <si>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</si>
  <si>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</si>
  <si>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</si>
  <si>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</si>
  <si>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</si>
  <si>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</si>
  <si>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</si>
  <si>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</si>
  <si>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</si>
  <si>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</si>
  <si>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</si>
  <si>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</si>
  <si>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</si>
  <si>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</si>
  <si>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</si>
  <si>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</si>
  <si>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</si>
  <si>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</si>
  <si>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</si>
  <si>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</si>
  <si>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</si>
  <si>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</si>
  <si>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</si>
  <si>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</si>
  <si>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</si>
  <si>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</si>
  <si>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</si>
  <si>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</si>
  <si>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</si>
  <si>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</si>
  <si>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</si>
  <si>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</si>
  <si>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</si>
  <si>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</si>
  <si>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</si>
  <si>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</si>
  <si>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</si>
  <si>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</si>
  <si>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</si>
  <si>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</si>
  <si>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</si>
  <si>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</si>
  <si>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</si>
  <si>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</si>
  <si>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</si>
  <si>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</si>
  <si>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</si>
  <si>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</si>
  <si>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</si>
  <si>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</si>
  <si>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</si>
  <si>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</si>
  <si>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</si>
  <si>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</si>
  <si>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</si>
  <si>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</si>
  <si>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</si>
  <si>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</si>
  <si>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</si>
  <si>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</si>
  <si>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</si>
  <si>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</si>
  <si>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</si>
  <si>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</si>
  <si>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</si>
  <si>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</si>
  <si>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</si>
  <si>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</si>
  <si>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</si>
  <si>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</si>
  <si>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</si>
  <si>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</si>
  <si>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</si>
  <si>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</si>
  <si>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</si>
  <si>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</si>
  <si>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</si>
  <si>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</si>
  <si>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</si>
  <si>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</si>
  <si>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</si>
  <si>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</si>
  <si>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</si>
  <si>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</si>
  <si>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</si>
  <si>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</si>
  <si>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</si>
  <si>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</si>
  <si>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</si>
  <si>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</si>
  <si>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</si>
  <si>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</si>
  <si>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</si>
  <si>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</si>
  <si>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</si>
  <si>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</si>
  <si>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</si>
  <si>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</si>
  <si>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</si>
  <si>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</si>
  <si>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</si>
  <si>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</si>
  <si>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</si>
  <si>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</si>
  <si>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</si>
  <si>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</si>
  <si>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</si>
  <si>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</si>
  <si>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</si>
  <si>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</si>
  <si>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</si>
  <si>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</si>
  <si>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</si>
  <si>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</si>
  <si>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</si>
  <si>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</si>
  <si>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</si>
  <si>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</si>
  <si>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</si>
  <si>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</si>
  <si>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</si>
  <si>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</si>
  <si>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</si>
  <si>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</si>
  <si>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</si>
  <si>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</si>
  <si>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</si>
  <si>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</si>
  <si>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</si>
  <si>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</si>
  <si>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</si>
  <si>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</si>
  <si>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</si>
  <si>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</si>
  <si>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</si>
  <si>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</si>
  <si>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</si>
  <si>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</si>
  <si>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</si>
  <si>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</si>
  <si>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</si>
  <si>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</si>
  <si>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</si>
  <si>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</si>
  <si>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</si>
  <si>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</si>
  <si>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</si>
  <si>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</si>
  <si>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</si>
  <si>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</si>
  <si>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</si>
  <si>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</si>
  <si>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</si>
  <si>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</si>
  <si>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</si>
  <si>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</si>
  <si>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</si>
  <si>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</si>
  <si>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</si>
  <si>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</si>
  <si>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</si>
  <si>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</si>
  <si>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</si>
  <si>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</si>
  <si>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</si>
  <si>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</si>
  <si>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</si>
  <si>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</si>
  <si>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</si>
  <si>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</si>
  <si>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</si>
  <si>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</si>
  <si>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</si>
  <si>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</si>
  <si>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</si>
  <si>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</si>
  <si>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</si>
  <si>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</si>
  <si>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</si>
  <si>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</si>
  <si>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</si>
  <si>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</si>
  <si>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</si>
  <si>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</si>
  <si>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</si>
  <si>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</si>
  <si>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</si>
  <si>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</si>
  <si>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</si>
  <si>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</si>
  <si>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</si>
  <si>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</si>
  <si>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</si>
  <si>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</si>
  <si>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</si>
  <si>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</si>
  <si>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</si>
  <si>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</si>
  <si>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</si>
  <si>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</si>
  <si>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</si>
  <si>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</si>
  <si>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</si>
  <si>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</si>
  <si>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</si>
  <si>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</si>
  <si>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</si>
  <si>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</si>
  <si>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</si>
  <si>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</si>
  <si>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</si>
  <si>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</si>
  <si>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</si>
  <si>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</si>
  <si>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</si>
  <si>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</si>
  <si>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</si>
  <si>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</si>
  <si>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</si>
  <si>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</si>
  <si>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</si>
  <si>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</si>
  <si>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</si>
  <si>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</si>
  <si>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</si>
  <si>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</si>
  <si>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</si>
  <si>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</si>
  <si>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</si>
  <si>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</si>
  <si>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</si>
  <si>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</si>
  <si>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</si>
  <si>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</si>
  <si>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</si>
  <si>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</si>
  <si>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</si>
  <si>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</si>
  <si>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</si>
  <si>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</si>
  <si>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</si>
  <si>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</si>
  <si>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</si>
  <si>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</si>
  <si>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</si>
  <si>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</si>
  <si>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</si>
  <si>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</si>
  <si>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</si>
  <si>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</si>
  <si>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</si>
  <si>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</si>
  <si>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</si>
  <si>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</si>
  <si>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</si>
  <si>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</si>
  <si>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</si>
  <si>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</si>
  <si>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</si>
  <si>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</si>
  <si>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</si>
  <si>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</si>
  <si>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</si>
  <si>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</si>
  <si>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</si>
  <si>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</si>
  <si>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</si>
  <si>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</si>
  <si>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</si>
  <si>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</si>
  <si>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</si>
  <si>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</si>
  <si>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</si>
  <si>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</si>
  <si>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</si>
  <si>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</si>
  <si>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</si>
  <si>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</si>
  <si>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</si>
  <si>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</si>
  <si>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</si>
  <si>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</si>
  <si>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</si>
  <si>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</si>
  <si>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</si>
  <si>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</si>
  <si>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</si>
  <si>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</si>
  <si>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</si>
  <si>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</si>
  <si>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</si>
  <si>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</si>
  <si>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</si>
  <si>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</si>
  <si>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</si>
  <si>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</si>
  <si>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</si>
  <si>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</si>
  <si>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</si>
  <si>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</si>
  <si>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</si>
  <si>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</si>
  <si>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</si>
  <si>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</si>
  <si>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</si>
  <si>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</si>
  <si>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</si>
  <si>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</si>
  <si>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</si>
  <si>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</si>
  <si>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</si>
  <si>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</si>
  <si>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</si>
  <si>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</si>
  <si>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</si>
  <si>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</si>
  <si>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</si>
  <si>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</si>
  <si>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</si>
  <si>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</si>
  <si>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</si>
  <si>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</si>
  <si>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</si>
  <si>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</si>
  <si>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</si>
  <si>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</si>
  <si>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</si>
  <si>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</si>
  <si>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</si>
  <si>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</si>
  <si>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</si>
  <si>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</si>
  <si>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</si>
  <si>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</si>
  <si>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</si>
  <si>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</si>
  <si>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</si>
  <si>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</si>
  <si>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</si>
  <si>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</si>
  <si>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</si>
  <si>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</si>
  <si>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</si>
  <si>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</si>
  <si>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</si>
  <si>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</si>
  <si>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</si>
  <si>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</si>
  <si>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</si>
  <si>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</si>
  <si>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</si>
  <si>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</si>
  <si>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</si>
  <si>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</si>
  <si>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</si>
  <si>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</si>
  <si>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</si>
  <si>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</si>
  <si>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</si>
  <si>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</si>
  <si>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</si>
  <si>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</si>
  <si>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</si>
  <si>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</si>
  <si>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</si>
  <si>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</si>
  <si>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</si>
  <si>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</si>
  <si>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</si>
  <si>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</si>
  <si>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</si>
  <si>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</si>
  <si>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</si>
  <si>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</si>
  <si>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</si>
  <si>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</si>
  <si>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</si>
  <si>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</si>
  <si>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</si>
  <si>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</si>
  <si>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</si>
  <si>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</si>
  <si>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</si>
  <si>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</si>
  <si>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</si>
  <si>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</si>
  <si>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</si>
  <si>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</si>
  <si>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</si>
  <si>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</si>
  <si>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</si>
  <si>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</si>
  <si>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</si>
  <si>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</si>
  <si>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</si>
  <si>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</si>
  <si>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</si>
  <si>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</si>
  <si>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</si>
  <si>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</si>
  <si>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</si>
  <si>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</si>
  <si>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</si>
  <si>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</si>
  <si>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</si>
  <si>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</si>
  <si>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</si>
  <si>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</si>
  <si>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</si>
  <si>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</si>
  <si>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</si>
  <si>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</si>
  <si>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</si>
  <si>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</si>
  <si>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</si>
  <si>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</si>
  <si>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</si>
  <si>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</si>
  <si>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</si>
  <si>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</si>
  <si>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</si>
  <si>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</si>
  <si>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</si>
  <si>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</si>
  <si>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</si>
  <si>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</si>
  <si>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</si>
  <si>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</si>
  <si>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</si>
  <si>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</si>
  <si>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</si>
  <si>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</si>
  <si>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</si>
  <si>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</si>
  <si>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</si>
  <si>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</si>
  <si>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</si>
  <si>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</si>
  <si>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</si>
  <si>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</si>
  <si>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</si>
  <si>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</si>
  <si>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</si>
  <si>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</si>
  <si>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</si>
  <si>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</si>
  <si>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</si>
  <si>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</si>
  <si>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</si>
  <si>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</si>
  <si>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</si>
  <si>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</si>
  <si>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</si>
  <si>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</si>
  <si>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</si>
  <si>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</si>
  <si>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</si>
  <si>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</si>
  <si>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</si>
  <si>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</si>
  <si>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</si>
  <si>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</si>
  <si>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</si>
  <si>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</si>
  <si>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</si>
  <si>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</si>
  <si>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</si>
  <si>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</si>
  <si>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</si>
  <si>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</si>
  <si>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</si>
  <si>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</si>
  <si>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</si>
  <si>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</si>
  <si>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</si>
  <si>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</si>
  <si>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</si>
  <si>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</si>
  <si>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</si>
  <si>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</si>
  <si>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</si>
  <si>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</si>
  <si>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</si>
  <si>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</si>
  <si>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</si>
  <si>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</si>
  <si>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</si>
  <si>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</si>
  <si>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</si>
  <si>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</si>
  <si>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</si>
  <si>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</si>
  <si>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</si>
  <si>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</si>
  <si>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</si>
  <si>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</si>
  <si>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</si>
  <si>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</si>
  <si>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</si>
  <si>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</si>
  <si>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</si>
  <si>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</si>
  <si>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</si>
  <si>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</si>
  <si>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</si>
  <si>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</si>
  <si>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</si>
  <si>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</si>
  <si>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</si>
  <si>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</si>
  <si>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</si>
  <si>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</si>
  <si>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</si>
  <si>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</si>
  <si>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</si>
  <si>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</si>
  <si>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</si>
  <si>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</si>
  <si>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</si>
  <si>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</si>
  <si>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</si>
  <si>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</si>
  <si>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</si>
  <si>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</si>
  <si>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</si>
  <si>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</si>
  <si>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</si>
  <si>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</si>
  <si>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</si>
  <si>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</si>
  <si>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</si>
  <si>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</si>
  <si>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</si>
  <si>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</si>
  <si>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</si>
  <si>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</si>
  <si>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</si>
  <si>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</si>
  <si>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</si>
  <si>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</si>
  <si>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</si>
  <si>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</si>
  <si>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</si>
  <si>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</si>
  <si>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</si>
  <si>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</si>
  <si>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</si>
  <si>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</si>
  <si>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</si>
  <si>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</si>
  <si>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</si>
  <si>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</si>
  <si>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</si>
  <si>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</si>
  <si>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</si>
  <si>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</si>
  <si>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</si>
  <si>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</si>
  <si>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</si>
  <si>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</si>
  <si>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</si>
  <si>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</si>
  <si>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</si>
  <si>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</si>
  <si>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</si>
  <si>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</si>
  <si>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</si>
  <si>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</si>
  <si>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</si>
  <si>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</si>
  <si>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</si>
  <si>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</si>
  <si>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</si>
  <si>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</si>
  <si>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</si>
  <si>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</si>
  <si>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</si>
  <si>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</si>
  <si>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</si>
  <si>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</si>
  <si>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</si>
  <si>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</si>
  <si>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</si>
  <si>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</si>
  <si>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</si>
  <si>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</si>
  <si>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</si>
  <si>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</si>
  <si>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</si>
  <si>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</si>
  <si>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</si>
  <si>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</si>
  <si>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</si>
  <si>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</si>
  <si>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</si>
  <si>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</si>
  <si>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</si>
  <si>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</si>
  <si>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</si>
  <si>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</si>
  <si>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</si>
  <si>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</si>
  <si>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</si>
  <si>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</si>
  <si>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</si>
  <si>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</si>
  <si>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</si>
  <si>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</si>
  <si>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</si>
  <si>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</si>
  <si>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</si>
  <si>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</si>
  <si>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</si>
  <si>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</si>
  <si>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</si>
  <si>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</si>
  <si>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</si>
  <si>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</si>
  <si>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</si>
  <si>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</si>
  <si>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</si>
  <si>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</si>
  <si>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</si>
  <si>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</si>
  <si>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</si>
  <si>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</si>
  <si>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</si>
  <si>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</si>
  <si>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</si>
  <si>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</si>
  <si>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</si>
  <si>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</si>
  <si>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</si>
  <si>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</si>
  <si>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</si>
  <si>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</si>
  <si>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</si>
  <si>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</si>
  <si>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</si>
  <si>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</si>
  <si>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</si>
  <si>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</si>
  <si>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</si>
  <si>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</si>
  <si>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</si>
  <si>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</si>
  <si>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</si>
  <si>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</si>
  <si>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</si>
  <si>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</si>
  <si>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</si>
  <si>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</si>
  <si>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</si>
  <si>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</si>
  <si>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</si>
  <si>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</si>
  <si>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</si>
  <si>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</si>
  <si>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</si>
  <si>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</si>
  <si>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</si>
  <si>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</si>
  <si>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</si>
  <si>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</si>
  <si>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</si>
  <si>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</si>
  <si>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</si>
  <si>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</si>
  <si>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</si>
  <si>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</si>
  <si>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</si>
  <si>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</si>
  <si>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</si>
  <si>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</si>
  <si>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</si>
  <si>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</si>
  <si>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</si>
  <si>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</si>
  <si>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</si>
  <si>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</si>
  <si>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</si>
  <si>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</si>
  <si>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</si>
  <si>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</si>
  <si>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</si>
  <si>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</si>
  <si>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</si>
  <si>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</si>
  <si>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</si>
  <si>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</si>
  <si>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</si>
  <si>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</si>
  <si>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</si>
  <si>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</si>
  <si>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</si>
  <si>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</si>
  <si>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</si>
  <si>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</si>
  <si>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</si>
  <si>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</si>
  <si>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</si>
  <si>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</si>
  <si>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</si>
  <si>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</si>
  <si>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</si>
  <si>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</si>
  <si>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</si>
  <si>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</si>
  <si>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</si>
  <si>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</si>
  <si>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</si>
  <si>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</si>
  <si>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</si>
  <si>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</si>
  <si>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</si>
  <si>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</si>
  <si>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</si>
  <si>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</si>
  <si>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</si>
  <si>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</si>
  <si>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</si>
  <si>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</si>
  <si>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</si>
  <si>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</si>
  <si>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</si>
  <si>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</si>
  <si>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</si>
  <si>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</si>
  <si>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</si>
  <si>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</si>
  <si>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</si>
  <si>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</si>
  <si>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</si>
  <si>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</si>
  <si>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</si>
  <si>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</si>
  <si>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</si>
  <si>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</si>
  <si>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</si>
  <si>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</si>
  <si>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</si>
  <si>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</si>
  <si>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</si>
  <si>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</si>
  <si>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</si>
  <si>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</si>
  <si>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</si>
  <si>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</si>
  <si>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</si>
  <si>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</si>
  <si>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</si>
  <si>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</si>
  <si>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</si>
  <si>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</si>
  <si>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</si>
  <si>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</si>
  <si>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</si>
  <si>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</si>
  <si>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</si>
  <si>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</si>
  <si>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</si>
  <si>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</si>
  <si>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</si>
  <si>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</si>
  <si>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</si>
  <si>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</si>
  <si>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</si>
  <si>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</si>
  <si>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</si>
  <si>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</si>
  <si>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</si>
  <si>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</si>
  <si>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</si>
  <si>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</si>
  <si>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</si>
  <si>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</si>
  <si>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</si>
  <si>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</si>
  <si>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</si>
  <si>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</si>
  <si>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</si>
  <si>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</si>
  <si>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</si>
  <si>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</si>
  <si>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</si>
  <si>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</si>
  <si>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</si>
  <si>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</si>
  <si>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</si>
  <si>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</si>
  <si>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</si>
  <si>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</si>
  <si>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</si>
  <si>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</si>
  <si>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</si>
  <si>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</si>
  <si>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</si>
  <si>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</si>
  <si>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</si>
  <si>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</si>
  <si>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</si>
  <si>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</si>
  <si>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</si>
  <si>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</si>
  <si>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</si>
  <si>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</si>
  <si>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</si>
  <si>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</si>
  <si>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</si>
  <si>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</si>
  <si>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</si>
  <si>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</si>
  <si>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</si>
  <si>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</si>
  <si>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</si>
  <si>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</si>
  <si>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</si>
  <si>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</si>
  <si>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</si>
  <si>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</si>
  <si>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</si>
  <si>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</si>
  <si>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</si>
  <si>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</si>
  <si>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</si>
  <si>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</si>
  <si>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</si>
  <si>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</si>
  <si>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</si>
  <si>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</si>
  <si>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</si>
  <si>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</si>
  <si>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</si>
  <si>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</si>
  <si>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</si>
  <si>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</si>
  <si>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</si>
  <si>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</si>
  <si>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</si>
  <si>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</si>
  <si>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</si>
  <si>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</si>
  <si>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</si>
  <si>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</si>
  <si>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</si>
  <si>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</si>
  <si>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</si>
  <si>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</si>
  <si>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</si>
  <si>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</si>
  <si>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</si>
  <si>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</si>
  <si>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</si>
  <si>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</si>
  <si>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</si>
  <si>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</si>
  <si>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</si>
  <si>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</si>
  <si>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</si>
  <si>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</si>
  <si>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</si>
  <si>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</si>
  <si>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</si>
  <si>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</si>
  <si>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</si>
  <si>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</si>
  <si>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</si>
  <si>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</si>
  <si>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</si>
  <si>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</si>
  <si>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</si>
  <si>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</si>
  <si>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</si>
  <si>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</si>
  <si>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</si>
  <si>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</si>
  <si>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</si>
  <si>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</si>
  <si>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</si>
  <si>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</si>
  <si>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</si>
  <si>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</si>
  <si>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</si>
  <si>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</si>
  <si>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</si>
  <si>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</si>
  <si>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</si>
  <si>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</si>
  <si>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</si>
  <si>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</si>
  <si>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</si>
  <si>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</si>
  <si>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</si>
  <si>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</si>
  <si>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</si>
  <si>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</si>
  <si>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</si>
  <si>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</si>
  <si>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</si>
  <si>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</si>
  <si>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</si>
  <si>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</si>
  <si>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</si>
  <si>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</si>
  <si>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</si>
  <si>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</si>
  <si>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</si>
  <si>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</si>
  <si>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</si>
  <si>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</si>
  <si>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</si>
  <si>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</si>
  <si>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</si>
  <si>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</si>
  <si>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</si>
  <si>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</si>
  <si>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</si>
  <si>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</si>
  <si>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</si>
  <si>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</si>
  <si>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</si>
  <si>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</si>
  <si>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</si>
  <si>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</si>
  <si>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</si>
  <si>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</si>
  <si>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</si>
  <si>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</si>
  <si>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</si>
  <si>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</si>
  <si>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</si>
  <si>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</si>
  <si>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</si>
  <si>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</si>
  <si>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</si>
  <si>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</si>
  <si>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</si>
  <si>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</si>
  <si>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</si>
  <si>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</si>
  <si>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</si>
  <si>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</si>
  <si>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</si>
  <si>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</si>
  <si>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</si>
  <si>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</si>
  <si>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</si>
  <si>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</si>
  <si>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</si>
  <si>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</si>
  <si>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</si>
  <si>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</si>
  <si>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</si>
  <si>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</si>
  <si>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</si>
  <si>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</si>
  <si>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</si>
  <si>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</si>
  <si>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</si>
  <si>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</si>
  <si>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</si>
  <si>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</si>
  <si>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</si>
  <si>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</si>
  <si>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</si>
  <si>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</si>
  <si>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</si>
  <si>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</si>
  <si>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</si>
  <si>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</si>
  <si>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</si>
  <si>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</si>
  <si>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</si>
  <si>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</si>
  <si>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</si>
  <si>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</si>
  <si>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</si>
  <si>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</si>
  <si>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</si>
  <si>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</si>
  <si>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</si>
  <si>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</si>
  <si>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</si>
  <si>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</si>
  <si>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</si>
  <si>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</si>
  <si>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</si>
  <si>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</si>
  <si>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</si>
  <si>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</si>
  <si>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</si>
  <si>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</si>
  <si>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</si>
  <si>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</si>
  <si>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</si>
  <si>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</si>
  <si>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</si>
  <si>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</si>
  <si>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</si>
  <si>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</si>
  <si>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</si>
  <si>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</si>
  <si>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</si>
  <si>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</si>
  <si>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</si>
  <si>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</si>
  <si>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</si>
  <si>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</si>
  <si>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</si>
  <si>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</si>
  <si>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</si>
  <si>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</si>
  <si>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</si>
  <si>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</si>
  <si>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</si>
  <si>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</si>
  <si>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</si>
  <si>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</si>
  <si>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</si>
  <si>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</si>
  <si>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</si>
  <si>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</si>
  <si>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</si>
  <si>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</si>
  <si>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</si>
  <si>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</si>
  <si>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</si>
  <si>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</si>
  <si>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</si>
  <si>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</si>
  <si>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</si>
  <si>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</si>
  <si>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</si>
  <si>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</si>
  <si>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</si>
  <si>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</si>
  <si>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</si>
  <si>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</si>
  <si>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</si>
  <si>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</si>
  <si>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</si>
  <si>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</si>
  <si>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</si>
  <si>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</si>
  <si>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</si>
  <si>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</si>
  <si>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</si>
  <si>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</si>
  <si>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</si>
  <si>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</si>
  <si>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</si>
  <si>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</si>
  <si>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</si>
  <si>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</si>
  <si>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</si>
  <si>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</si>
  <si>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</si>
  <si>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</si>
  <si>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</si>
  <si>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</si>
  <si>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</si>
  <si>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</si>
  <si>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</si>
  <si>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</si>
  <si>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</si>
  <si>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</si>
  <si>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</si>
  <si>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</si>
  <si>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</si>
  <si>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</si>
  <si>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</si>
  <si>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</si>
  <si>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</si>
  <si>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</si>
  <si>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</si>
  <si>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</si>
  <si>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</si>
  <si>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</si>
  <si>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</si>
  <si>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</si>
  <si>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</si>
  <si>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</si>
  <si>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</si>
  <si>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</si>
  <si>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</si>
  <si>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</si>
  <si>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</si>
  <si>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</si>
  <si>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</si>
  <si>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</si>
  <si>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</si>
  <si>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</si>
  <si>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</si>
  <si>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</si>
  <si>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</si>
  <si>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</si>
  <si>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</si>
  <si>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</si>
  <si>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</si>
  <si>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</si>
  <si>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</si>
  <si>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</si>
  <si>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</si>
  <si>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</si>
  <si>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</si>
  <si>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</si>
  <si>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</si>
  <si>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</si>
  <si>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</si>
  <si>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</si>
  <si>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</si>
  <si>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</si>
  <si>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</si>
  <si>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</si>
  <si>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</si>
  <si>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</si>
  <si>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</si>
  <si>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</si>
  <si>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</si>
  <si>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</si>
  <si>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</si>
  <si>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</si>
  <si>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</si>
  <si>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</si>
  <si>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</si>
  <si>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</si>
  <si>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</si>
  <si>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</si>
  <si>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</si>
  <si>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</si>
  <si>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</si>
  <si>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</si>
  <si>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</si>
  <si>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</si>
  <si>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</si>
  <si>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</si>
  <si>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</si>
  <si>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</si>
  <si>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</si>
  <si>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</si>
  <si>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</si>
  <si>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</si>
  <si>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</si>
  <si>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</si>
  <si>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</si>
  <si>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</si>
  <si>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</si>
  <si>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</si>
  <si>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</si>
  <si>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</si>
  <si>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</si>
  <si>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</si>
  <si>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</si>
  <si>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</si>
  <si>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</si>
  <si>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</si>
  <si>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</si>
  <si>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</si>
  <si>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</si>
  <si>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</si>
  <si>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</si>
  <si>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</si>
  <si>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</si>
  <si>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</si>
  <si>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</si>
  <si>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</si>
  <si>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</si>
  <si>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</si>
  <si>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</si>
  <si>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</si>
  <si>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</si>
  <si>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</si>
  <si>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</si>
  <si>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</si>
  <si>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</si>
  <si>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</si>
  <si>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</si>
  <si>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</si>
  <si>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</si>
  <si>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</si>
  <si>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</si>
  <si>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</si>
  <si>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</si>
  <si>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</si>
  <si>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</si>
  <si>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</si>
  <si>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</si>
  <si>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</si>
  <si>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</si>
  <si>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</si>
  <si>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</si>
  <si>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</si>
  <si>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</si>
  <si>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</si>
  <si>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</si>
  <si>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</si>
  <si>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</si>
  <si>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</si>
  <si>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</si>
  <si>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</si>
  <si>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</si>
  <si>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</si>
  <si>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</si>
  <si>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</si>
  <si>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</si>
  <si>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</si>
  <si>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</si>
  <si>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</si>
  <si>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</si>
  <si>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</si>
  <si>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</si>
  <si>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</si>
  <si>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</si>
  <si>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</si>
  <si>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</si>
  <si>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</si>
  <si>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</si>
  <si>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</si>
  <si>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</si>
  <si>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</si>
  <si>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</si>
  <si>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</si>
  <si>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</si>
  <si>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</si>
  <si>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</si>
  <si>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</si>
  <si>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</si>
  <si>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</si>
  <si>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</si>
  <si>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</si>
  <si>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</si>
  <si>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</si>
  <si>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</si>
  <si>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</si>
  <si>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</si>
  <si>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</si>
  <si>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</si>
  <si>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</si>
  <si>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</si>
  <si>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</si>
  <si>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</si>
  <si>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</si>
  <si>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</si>
  <si>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</si>
  <si>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</si>
  <si>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</si>
  <si>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</si>
  <si>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</si>
  <si>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</si>
  <si>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</si>
  <si>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</si>
  <si>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</si>
  <si>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</si>
  <si>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</si>
  <si>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</si>
  <si>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</si>
  <si>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</si>
  <si>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</si>
  <si>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</si>
  <si>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</si>
  <si>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</si>
  <si>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</si>
  <si>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</si>
  <si>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</si>
  <si>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</si>
  <si>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</si>
  <si>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</si>
  <si>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</si>
  <si>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</si>
  <si>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</si>
  <si>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</si>
  <si>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</si>
  <si>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</si>
  <si>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</si>
  <si>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</si>
  <si>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</si>
  <si>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</si>
  <si>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</si>
  <si>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</si>
  <si>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</si>
  <si>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</si>
  <si>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</si>
  <si>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</si>
  <si>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</si>
  <si>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</si>
  <si>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</si>
  <si>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</si>
  <si>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</si>
  <si>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</si>
  <si>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</si>
  <si>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</si>
  <si>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</si>
  <si>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</si>
  <si>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</si>
  <si>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</si>
  <si>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</si>
  <si>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</si>
  <si>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</si>
  <si>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</si>
  <si>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</si>
  <si>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</si>
  <si>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</si>
  <si>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</si>
  <si>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</si>
  <si>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</si>
  <si>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</si>
  <si>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</si>
  <si>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</si>
  <si>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</si>
  <si>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</si>
  <si>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</si>
  <si>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</si>
  <si>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</si>
  <si>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</si>
  <si>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</si>
  <si>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</si>
  <si>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</si>
  <si>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</si>
  <si>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</si>
  <si>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</si>
  <si>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</si>
  <si>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</si>
  <si>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</si>
  <si>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</si>
  <si>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</si>
  <si>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</si>
  <si>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</si>
  <si>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</si>
  <si>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</si>
  <si>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</si>
  <si>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</si>
  <si>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</si>
  <si>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</si>
  <si>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</si>
  <si>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</si>
  <si>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</si>
  <si>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</si>
  <si>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</si>
  <si>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</si>
  <si>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</si>
  <si>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</si>
  <si>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</si>
  <si>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</si>
  <si>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</si>
  <si>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</si>
  <si>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</si>
  <si>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</si>
  <si>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</si>
  <si>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</si>
  <si>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</si>
  <si>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</si>
  <si>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</si>
  <si>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</si>
  <si>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</si>
  <si>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</si>
  <si>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</si>
  <si>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</si>
  <si>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</si>
  <si>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</si>
  <si>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</si>
  <si>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</si>
  <si>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</si>
  <si>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</si>
  <si>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</si>
  <si>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</si>
  <si>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</si>
  <si>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</si>
  <si>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</si>
  <si>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</si>
  <si>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</si>
  <si>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</si>
  <si>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</si>
  <si>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</si>
  <si>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</si>
  <si>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</si>
  <si>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</si>
  <si>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</si>
  <si>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</si>
  <si>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</si>
  <si>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</si>
  <si>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</si>
  <si>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</si>
  <si>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</si>
  <si>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</si>
  <si>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</si>
  <si>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</si>
  <si>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</si>
  <si>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</si>
  <si>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</si>
  <si>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</si>
  <si>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</si>
  <si>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</si>
  <si>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</si>
  <si>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</si>
  <si>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</si>
  <si>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</si>
  <si>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</si>
  <si>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</si>
  <si>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</si>
  <si>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</si>
  <si>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</si>
  <si>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</si>
  <si>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</si>
  <si>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</si>
  <si>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</si>
  <si>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</si>
  <si>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</si>
  <si>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</si>
  <si>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</si>
  <si>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</si>
  <si>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</si>
  <si>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</si>
  <si>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</si>
  <si>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</si>
  <si>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</si>
  <si>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</si>
  <si>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</si>
  <si>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</si>
  <si>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</si>
  <si>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</si>
  <si>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</si>
  <si>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</si>
  <si>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</si>
  <si>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</si>
  <si>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</si>
  <si>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</si>
  <si>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</si>
  <si>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</si>
  <si>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</si>
  <si>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</si>
  <si>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</si>
  <si>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</si>
  <si>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</si>
  <si>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</si>
  <si>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</si>
  <si>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</si>
  <si>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</si>
  <si>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</si>
  <si>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</si>
  <si>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</si>
  <si>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</si>
  <si>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</si>
  <si>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</si>
  <si>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</si>
  <si>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</si>
  <si>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</si>
  <si>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</si>
  <si>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</si>
  <si>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</si>
  <si>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</si>
  <si>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</si>
  <si>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</si>
  <si>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</si>
  <si>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</si>
  <si>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</si>
  <si>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</si>
  <si>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</si>
  <si>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</si>
  <si>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</si>
  <si>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</si>
  <si>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</si>
  <si>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</si>
  <si>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</si>
  <si>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</si>
  <si>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</si>
  <si>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</si>
  <si>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</si>
  <si>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</si>
  <si>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</si>
  <si>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</si>
  <si>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</si>
  <si>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</si>
  <si>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</si>
  <si>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</si>
  <si>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</si>
  <si>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</si>
  <si>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</si>
  <si>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</si>
  <si>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</si>
  <si>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</si>
  <si>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</si>
  <si>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</si>
  <si>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</si>
  <si>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</si>
  <si>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</si>
  <si>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</si>
  <si>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</si>
  <si>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</si>
  <si>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</si>
  <si>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</si>
  <si>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</si>
  <si>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</si>
  <si>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</si>
  <si>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</si>
  <si>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</si>
  <si>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</si>
  <si>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</si>
  <si>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</si>
  <si>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</si>
  <si>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</si>
  <si>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</si>
  <si>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</si>
  <si>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</si>
  <si>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</si>
  <si>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</si>
  <si>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</si>
  <si>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</si>
  <si>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</si>
  <si>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</si>
  <si>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</si>
  <si>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</si>
  <si>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</si>
  <si>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</si>
  <si>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</si>
  <si>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</si>
  <si>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</si>
  <si>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</si>
  <si>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</si>
  <si>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</si>
  <si>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</si>
  <si>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</si>
  <si>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</si>
  <si>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</si>
  <si>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</si>
  <si>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</si>
  <si>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</si>
  <si>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</si>
  <si>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</si>
  <si>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</si>
  <si>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</si>
  <si>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</si>
  <si>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</si>
  <si>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</si>
  <si>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</si>
  <si>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</si>
  <si>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</si>
  <si>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</si>
  <si>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</si>
  <si>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</si>
  <si>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</si>
  <si>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</si>
  <si>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</si>
  <si>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</si>
  <si>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</si>
  <si>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</si>
  <si>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</si>
  <si>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</si>
  <si>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</si>
  <si>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</si>
  <si>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</si>
  <si>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</si>
  <si>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</si>
  <si>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</si>
  <si>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</si>
  <si>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</si>
  <si>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</si>
  <si>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</si>
  <si>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</si>
  <si>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</si>
  <si>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</si>
  <si>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</si>
  <si>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</si>
  <si>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</si>
  <si>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</si>
  <si>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</si>
  <si>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</si>
  <si>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</si>
  <si>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</si>
  <si>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</si>
  <si>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</si>
  <si>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</si>
  <si>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</si>
  <si>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</si>
  <si>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</si>
  <si>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</si>
  <si>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</si>
  <si>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</si>
  <si>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</si>
  <si>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</si>
  <si>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</si>
  <si>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</si>
  <si>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</si>
  <si>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</si>
  <si>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</si>
  <si>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</si>
  <si>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</si>
  <si>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</si>
  <si>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</si>
  <si>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</si>
  <si>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</si>
  <si>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</si>
  <si>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</si>
  <si>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</si>
  <si>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</si>
  <si>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</si>
  <si>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</si>
  <si>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</si>
  <si>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</si>
  <si>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</si>
  <si>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</si>
  <si>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</si>
  <si>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</si>
  <si>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</si>
  <si>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</si>
  <si>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</si>
  <si>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</si>
  <si>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</si>
  <si>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</si>
  <si>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</si>
  <si>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</si>
  <si>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</si>
  <si>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</si>
  <si>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</si>
  <si>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</si>
  <si>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</si>
  <si>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</si>
  <si>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</si>
  <si>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</si>
  <si>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</si>
  <si>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</si>
  <si>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</si>
  <si>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</si>
  <si>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</si>
  <si>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</si>
  <si>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</si>
  <si>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</si>
  <si>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</si>
  <si>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</si>
  <si>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</si>
  <si>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</si>
  <si>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</si>
  <si>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</si>
  <si>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</si>
  <si>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</si>
  <si>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</si>
  <si>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</si>
  <si>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</si>
  <si>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</si>
  <si>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</si>
  <si>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</si>
  <si>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</si>
  <si>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</si>
  <si>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</si>
  <si>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</si>
  <si>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</si>
  <si>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</si>
  <si>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</si>
  <si>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</si>
  <si>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</si>
  <si>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</si>
  <si>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</si>
  <si>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</si>
  <si>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</si>
  <si>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</si>
  <si>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</si>
  <si>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</si>
  <si>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</si>
  <si>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</si>
  <si>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</si>
  <si>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</si>
  <si>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</si>
  <si>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</si>
  <si>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</si>
  <si>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</si>
  <si>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</si>
  <si>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</si>
  <si>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</si>
  <si>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</si>
  <si>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</si>
  <si>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</si>
  <si>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</si>
  <si>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</si>
  <si>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</si>
  <si>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</si>
  <si>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</si>
  <si>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</si>
  <si>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</si>
  <si>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</si>
  <si>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</si>
  <si>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</si>
  <si>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</si>
  <si>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</si>
  <si>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</si>
  <si>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</si>
  <si>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</si>
  <si>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</si>
  <si>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</si>
  <si>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</si>
  <si>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</si>
  <si>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</si>
  <si>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</si>
  <si>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</si>
  <si>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</si>
  <si>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</si>
  <si>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</si>
  <si>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</si>
  <si>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</si>
  <si>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</si>
  <si>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</si>
  <si>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</si>
  <si>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</si>
  <si>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</si>
  <si>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</si>
  <si>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</si>
  <si>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</si>
  <si>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</si>
  <si>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</si>
  <si>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</si>
  <si>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</si>
  <si>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</si>
  <si>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</si>
  <si>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</si>
  <si>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</si>
  <si>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</si>
  <si>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</si>
  <si>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</si>
  <si>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</si>
  <si>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</si>
  <si>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</si>
  <si>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</si>
  <si>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</si>
  <si>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</si>
  <si>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</si>
  <si>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</si>
  <si>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</si>
  <si>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</si>
  <si>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</si>
  <si>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</si>
  <si>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</si>
  <si>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</si>
  <si>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</si>
  <si>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</si>
  <si>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</si>
  <si>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</si>
  <si>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</si>
  <si>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</si>
  <si>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</si>
  <si>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</si>
  <si>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</si>
  <si>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</si>
  <si>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</si>
  <si>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</si>
  <si>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</si>
  <si>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</si>
  <si>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</si>
  <si>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</si>
  <si>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</si>
  <si>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</si>
  <si>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</si>
  <si>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</si>
  <si>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</si>
  <si>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</si>
  <si>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</si>
  <si>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</si>
  <si>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</si>
  <si>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</si>
  <si>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</si>
  <si>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</si>
  <si>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</si>
  <si>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</si>
  <si>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</si>
  <si>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</si>
  <si>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</si>
  <si>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</si>
  <si>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</si>
  <si>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</si>
  <si>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</si>
  <si>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</si>
  <si>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</si>
  <si>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</si>
  <si>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</si>
  <si>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</si>
  <si>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</si>
  <si>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</si>
  <si>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</si>
  <si>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</si>
  <si>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</si>
  <si>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</si>
  <si>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</si>
  <si>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</si>
  <si>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</si>
  <si>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</si>
  <si>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</si>
  <si>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</si>
  <si>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</si>
  <si>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</si>
  <si>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</si>
  <si>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</si>
  <si>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</si>
  <si>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</si>
  <si>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</si>
  <si>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</si>
  <si>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</si>
  <si>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</si>
  <si>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</si>
  <si>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</si>
  <si>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</si>
  <si>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</si>
  <si>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</si>
  <si>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</si>
  <si>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</si>
  <si>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</si>
  <si>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</si>
  <si>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</si>
  <si>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</si>
  <si>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</si>
  <si>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</si>
  <si>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</si>
  <si>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</si>
  <si>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</si>
  <si>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</si>
  <si>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</si>
  <si>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</si>
  <si>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</si>
  <si>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</si>
  <si>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</si>
  <si>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</si>
  <si>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</si>
  <si>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</si>
  <si>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</si>
  <si>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</si>
  <si>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</si>
  <si>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</si>
  <si>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</si>
  <si>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</si>
  <si>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</si>
  <si>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</si>
  <si>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</si>
  <si>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</si>
  <si>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</si>
  <si>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</si>
  <si>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</si>
  <si>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</si>
  <si>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</si>
  <si>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</si>
  <si>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</si>
  <si>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</si>
  <si>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</si>
  <si>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</si>
  <si>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</si>
  <si>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</si>
  <si>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</si>
  <si>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</si>
  <si>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</si>
  <si>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</si>
  <si>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</si>
  <si>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</si>
  <si>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</si>
  <si>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</si>
  <si>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</si>
  <si>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</si>
  <si>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</si>
  <si>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</si>
  <si>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</si>
  <si>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</si>
  <si>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</si>
  <si>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</si>
  <si>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</si>
  <si>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</si>
  <si>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</si>
  <si>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</si>
  <si>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</si>
  <si>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</si>
  <si>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</si>
  <si>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</si>
  <si>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</si>
  <si>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</si>
  <si>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</si>
  <si>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</si>
  <si>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</si>
  <si>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</si>
  <si>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</si>
  <si>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</si>
  <si>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</si>
  <si>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</si>
  <si>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</si>
  <si>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</si>
  <si>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</si>
  <si>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</si>
  <si>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</si>
  <si>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</si>
  <si>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</si>
  <si>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</si>
  <si>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</si>
  <si>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</si>
  <si>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</si>
  <si>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</si>
  <si>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</si>
  <si>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</si>
  <si>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</si>
  <si>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</si>
  <si>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</si>
  <si>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</si>
  <si>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</si>
  <si>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</si>
  <si>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</si>
  <si>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</si>
  <si>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</si>
  <si>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</si>
  <si>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</si>
  <si>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</si>
  <si>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</si>
  <si>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</si>
  <si>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</si>
  <si>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</si>
  <si>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</si>
  <si>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</si>
  <si>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</si>
  <si>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</si>
  <si>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</si>
  <si>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</si>
  <si>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</si>
  <si>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</si>
  <si>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</si>
  <si>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</si>
  <si>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</si>
  <si>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</si>
  <si>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</si>
  <si>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</si>
  <si>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</si>
  <si>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</si>
  <si>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</si>
  <si>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</si>
  <si>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</si>
  <si>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</si>
  <si>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</si>
  <si>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</si>
  <si>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</si>
  <si>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</si>
  <si>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</si>
  <si>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</si>
  <si>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</si>
  <si>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</si>
  <si>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</si>
  <si>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</si>
  <si>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</si>
  <si>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</si>
  <si>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</si>
  <si>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</si>
  <si>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</si>
  <si>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</si>
  <si>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</si>
  <si>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</si>
  <si>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</si>
  <si>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</si>
  <si>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</si>
  <si>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</si>
  <si>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</si>
  <si>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</si>
  <si>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</si>
  <si>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</si>
  <si>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</si>
  <si>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</si>
  <si>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</si>
  <si>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</si>
  <si>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</si>
  <si>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</si>
  <si>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</si>
  <si>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</si>
  <si>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</si>
  <si>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</si>
  <si>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</si>
  <si>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</si>
  <si>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</si>
  <si>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</si>
  <si>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</si>
  <si>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</si>
  <si>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</si>
  <si>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</si>
  <si>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</si>
  <si>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</si>
  <si>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</si>
  <si>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</si>
  <si>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</si>
  <si>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</si>
  <si>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</si>
  <si>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</si>
  <si>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</si>
  <si>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</si>
  <si>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</si>
  <si>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</si>
  <si>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</si>
  <si>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</si>
  <si>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</si>
  <si>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</si>
  <si>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</si>
  <si>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</si>
  <si>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</si>
  <si>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</si>
  <si>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</si>
  <si>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</si>
  <si>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</si>
  <si>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</si>
  <si>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</si>
  <si>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</si>
  <si>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</si>
  <si>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</si>
  <si>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</si>
  <si>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</si>
  <si>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</si>
  <si>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</si>
  <si>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</si>
  <si>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</si>
  <si>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</si>
  <si>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</si>
  <si>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</si>
  <si>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</si>
  <si>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</si>
  <si>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</si>
  <si>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</si>
  <si>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</si>
  <si>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</si>
  <si>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</si>
  <si>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</si>
  <si>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</si>
  <si>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</si>
  <si>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</si>
  <si>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</si>
  <si>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</si>
  <si>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</si>
  <si>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</si>
  <si>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</si>
  <si>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</si>
  <si>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</si>
  <si>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</si>
  <si>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</si>
  <si>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</si>
  <si>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</si>
  <si>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</si>
  <si>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</si>
  <si>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</si>
  <si>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</si>
  <si>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</si>
  <si>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</si>
  <si>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</si>
  <si>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</si>
  <si>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</si>
  <si>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</si>
  <si>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</si>
  <si>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</si>
  <si>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</si>
  <si>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</si>
  <si>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</si>
  <si>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</si>
  <si>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</si>
  <si>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</si>
  <si>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</si>
  <si>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</si>
  <si>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</si>
  <si>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</si>
  <si>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</si>
  <si>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</si>
  <si>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</si>
  <si>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</si>
  <si>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</si>
  <si>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</si>
  <si>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</si>
  <si>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</si>
  <si>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</si>
  <si>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</si>
  <si>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</si>
  <si>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</si>
  <si>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</si>
  <si>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</si>
  <si>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</si>
  <si>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</si>
  <si>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</si>
  <si>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</si>
  <si>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</si>
  <si>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</si>
  <si>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</si>
  <si>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</si>
  <si>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</si>
  <si>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</si>
  <si>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</si>
  <si>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</si>
  <si>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</si>
  <si>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</si>
  <si>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</si>
  <si>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</si>
  <si>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</si>
  <si>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</si>
  <si>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</si>
  <si>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</si>
  <si>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</si>
  <si>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</si>
  <si>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</si>
  <si>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</si>
  <si>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</si>
  <si>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</si>
  <si>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</si>
  <si>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</si>
  <si>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</si>
  <si>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</si>
  <si>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</si>
  <si>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</si>
  <si>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</si>
  <si>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</si>
  <si>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</si>
  <si>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</si>
  <si>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</si>
  <si>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</si>
  <si>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</si>
  <si>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</si>
  <si>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</si>
  <si>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</si>
  <si>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</si>
  <si>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</si>
  <si>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</si>
  <si>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</si>
  <si>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</si>
  <si>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</si>
  <si>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</si>
  <si>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</si>
  <si>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</si>
  <si>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</si>
  <si>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</si>
  <si>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</si>
  <si>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</si>
  <si>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</si>
  <si>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</si>
  <si>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</si>
  <si>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</si>
  <si>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</si>
  <si>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</si>
  <si>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</si>
  <si>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</si>
  <si>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</si>
  <si>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</si>
  <si>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</si>
  <si>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</si>
  <si>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</si>
  <si>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</si>
  <si>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</si>
  <si>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</si>
  <si>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</si>
  <si>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</si>
  <si>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</si>
  <si>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</si>
  <si>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</si>
  <si>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</si>
  <si>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</si>
  <si>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</si>
  <si>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</si>
  <si>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</si>
  <si>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</si>
  <si>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</si>
  <si>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</si>
  <si>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</si>
  <si>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</si>
  <si>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</si>
  <si>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</si>
  <si>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</si>
  <si>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</si>
  <si>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</si>
  <si>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</si>
  <si>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</si>
  <si>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</si>
  <si>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</si>
  <si>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</si>
  <si>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</si>
  <si>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</si>
  <si>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</si>
  <si>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</si>
  <si>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</si>
  <si>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</si>
  <si>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</si>
  <si>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</si>
  <si>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</si>
  <si>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</si>
  <si>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</si>
  <si>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</si>
  <si>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</si>
  <si>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</si>
  <si>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</si>
  <si>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</si>
  <si>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</si>
  <si>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</si>
  <si>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</si>
  <si>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</si>
  <si>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</si>
  <si>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</si>
  <si>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</si>
  <si>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</si>
  <si>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</si>
  <si>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</si>
  <si>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</si>
  <si>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</si>
  <si>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</si>
  <si>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</si>
  <si>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</si>
  <si>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</si>
  <si>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</si>
  <si>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</si>
  <si>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</si>
  <si>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</si>
  <si>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</si>
  <si>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</si>
  <si>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</si>
  <si>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</si>
  <si>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</si>
  <si>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</si>
  <si>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</si>
  <si>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</si>
  <si>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</si>
  <si>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</si>
  <si>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</si>
  <si>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</si>
  <si>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</si>
  <si>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</si>
  <si>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</si>
  <si>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</si>
  <si>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</si>
  <si>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</si>
  <si>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</si>
  <si>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</si>
  <si>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</si>
  <si>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</si>
  <si>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</si>
  <si>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</si>
  <si>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</si>
  <si>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</si>
  <si>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</si>
  <si>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</si>
  <si>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</si>
  <si>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</si>
  <si>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</si>
  <si>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</si>
  <si>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</si>
  <si>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</si>
  <si>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</si>
  <si>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</si>
  <si>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</si>
  <si>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</si>
  <si>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</si>
  <si>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</si>
  <si>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</si>
  <si>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</si>
  <si>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</si>
  <si>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</si>
  <si>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</si>
  <si>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</si>
  <si>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</si>
  <si>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</si>
  <si>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</si>
  <si>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</si>
  <si>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</si>
  <si>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</si>
  <si>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</si>
  <si>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</si>
  <si>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</si>
  <si>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</si>
  <si>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</si>
  <si>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</si>
  <si>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</si>
  <si>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</si>
  <si>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</si>
  <si>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</si>
  <si>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</si>
  <si>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</si>
  <si>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</si>
  <si>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</si>
  <si>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</si>
  <si>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</si>
  <si>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</si>
  <si>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</si>
  <si>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</si>
  <si>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</si>
  <si>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</si>
  <si>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</si>
  <si>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</si>
  <si>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</si>
  <si>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</si>
  <si>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</si>
  <si>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</si>
  <si>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</si>
  <si>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</si>
  <si>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</si>
  <si>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</si>
  <si>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</si>
  <si>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</si>
  <si>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</si>
  <si>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</si>
  <si>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</si>
  <si>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</si>
  <si>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</si>
  <si>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</si>
  <si>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</si>
  <si>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</si>
  <si>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</si>
  <si>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</si>
  <si>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</si>
  <si>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</si>
  <si>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</si>
  <si>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</si>
  <si>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</si>
  <si>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</si>
  <si>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</si>
  <si>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</si>
  <si>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</si>
  <si>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</si>
  <si>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</si>
  <si>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</si>
  <si>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</si>
  <si>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</si>
  <si>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</si>
  <si>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</si>
  <si>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</si>
  <si>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</si>
  <si>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</si>
  <si>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</si>
  <si>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</si>
  <si>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</si>
  <si>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</si>
  <si>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</si>
  <si>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</si>
  <si>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</si>
  <si>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</si>
  <si>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</si>
  <si>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</si>
  <si>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</si>
  <si>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</si>
  <si>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</si>
  <si>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</si>
  <si>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</si>
  <si>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</si>
  <si>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</si>
  <si>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</si>
  <si>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</si>
  <si>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</si>
  <si>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</si>
  <si>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</si>
  <si>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</si>
  <si>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</si>
  <si>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</si>
  <si>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</si>
  <si>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</si>
  <si>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</si>
  <si>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</si>
  <si>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</si>
  <si>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</si>
  <si>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</si>
  <si>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</si>
  <si>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</si>
  <si>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</si>
  <si>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</si>
  <si>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</si>
  <si>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</si>
  <si>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</si>
  <si>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</si>
  <si>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</si>
  <si>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</si>
  <si>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</si>
  <si>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</si>
  <si>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</si>
  <si>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</si>
  <si>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</si>
  <si>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</si>
  <si>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</si>
  <si>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</si>
  <si>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</si>
  <si>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</si>
  <si>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</si>
  <si>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</si>
  <si>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</si>
  <si>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</si>
  <si>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</si>
  <si>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</si>
  <si>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</si>
  <si>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</si>
  <si>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</si>
  <si>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</si>
  <si>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</si>
  <si>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</si>
  <si>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</si>
  <si>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</si>
  <si>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</si>
  <si>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</si>
  <si>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</si>
  <si>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</si>
  <si>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</si>
  <si>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</si>
  <si>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</si>
  <si>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</si>
  <si>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</si>
  <si>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</si>
  <si>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</si>
  <si>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</si>
  <si>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</si>
  <si>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</si>
  <si>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</si>
  <si>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</si>
  <si>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</si>
  <si>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</si>
  <si>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</si>
  <si>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</si>
  <si>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</si>
  <si>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</si>
  <si>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</si>
  <si>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</si>
  <si>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</si>
  <si>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</si>
  <si>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</si>
  <si>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</si>
  <si>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</si>
  <si>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</si>
  <si>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</si>
  <si>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</si>
  <si>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</si>
  <si>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</si>
  <si>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</si>
  <si>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</si>
  <si>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</si>
  <si>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</si>
  <si>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</si>
  <si>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</si>
  <si>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</si>
  <si>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</si>
  <si>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</si>
  <si>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</si>
  <si>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</si>
  <si>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</si>
  <si>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</si>
  <si>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</si>
  <si>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</si>
  <si>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</si>
  <si>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</si>
  <si>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</si>
  <si>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</si>
  <si>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</si>
  <si>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</si>
  <si>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</si>
  <si>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</si>
  <si>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</si>
  <si>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</si>
  <si>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</si>
  <si>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</si>
  <si>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</si>
  <si>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</si>
  <si>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</si>
  <si>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</si>
  <si>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</si>
  <si>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</si>
  <si>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</si>
  <si>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</si>
  <si>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</si>
  <si>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</si>
  <si>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</si>
  <si>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</si>
  <si>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</si>
  <si>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</si>
  <si>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</si>
  <si>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</si>
  <si>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</si>
  <si>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</si>
  <si>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</si>
  <si>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</si>
  <si>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</si>
  <si>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</si>
  <si>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</si>
  <si>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</si>
  <si>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</si>
  <si>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</si>
  <si>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</si>
  <si>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</si>
  <si>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</si>
  <si>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</si>
  <si>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</si>
  <si>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</si>
  <si>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</si>
  <si>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</si>
  <si>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</si>
  <si>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</si>
  <si>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</si>
  <si>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</si>
  <si>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</si>
  <si>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</si>
  <si>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</si>
  <si>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</si>
  <si>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</si>
  <si>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</si>
  <si>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</si>
  <si>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</si>
  <si>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</si>
  <si>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</si>
  <si>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</si>
  <si>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</si>
  <si>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</si>
  <si>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</si>
  <si>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</si>
  <si>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</si>
  <si>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</si>
  <si>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</si>
  <si>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</si>
  <si>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</si>
  <si>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</si>
  <si>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</si>
  <si>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</si>
  <si>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</si>
  <si>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</si>
  <si>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</si>
  <si>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</si>
  <si>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</si>
  <si>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</si>
  <si>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</si>
  <si>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</si>
  <si>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</si>
  <si>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</si>
  <si>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</si>
  <si>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</si>
  <si>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</si>
  <si>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</si>
  <si>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</si>
  <si>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</si>
  <si>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</si>
  <si>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</si>
  <si>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</si>
  <si>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</si>
  <si>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</si>
  <si>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</si>
  <si>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</si>
  <si>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</si>
  <si>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</si>
  <si>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</si>
  <si>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</si>
  <si>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</si>
  <si>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</si>
  <si>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</si>
  <si>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</si>
  <si>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</si>
  <si>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</si>
  <si>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</si>
  <si>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</si>
  <si>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</si>
  <si>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</si>
  <si>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</si>
  <si>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</si>
  <si>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</si>
  <si>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</si>
  <si>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</si>
  <si>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</si>
  <si>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</si>
  <si>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</si>
  <si>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</si>
  <si>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</si>
  <si>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</si>
  <si>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</si>
  <si>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</si>
  <si>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</si>
  <si>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</si>
  <si>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</si>
  <si>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</si>
  <si>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</si>
  <si>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</si>
  <si>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</si>
  <si>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</si>
  <si>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</si>
  <si>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</si>
  <si>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</si>
  <si>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</si>
  <si>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</si>
  <si>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</si>
  <si>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</si>
  <si>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</si>
  <si>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</si>
  <si>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</si>
  <si>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</si>
  <si>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</si>
  <si>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</si>
  <si>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</si>
  <si>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</si>
  <si>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</si>
  <si>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</si>
  <si>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</si>
  <si>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</si>
  <si>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</si>
  <si>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</si>
  <si>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</si>
  <si>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</si>
  <si>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</si>
  <si>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</si>
  <si>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</si>
  <si>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</si>
  <si>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</si>
  <si>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</si>
  <si>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</si>
  <si>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</si>
  <si>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</si>
  <si>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</si>
  <si>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</si>
  <si>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</si>
  <si>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</si>
  <si>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</si>
  <si>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</si>
  <si>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</si>
  <si>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</si>
  <si>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</si>
  <si>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</si>
  <si>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</si>
  <si>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</si>
  <si>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</si>
  <si>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</si>
  <si>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</si>
  <si>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</si>
  <si>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</si>
  <si>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</si>
  <si>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</si>
  <si>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</si>
  <si>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</si>
  <si>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</si>
  <si>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</si>
  <si>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</si>
  <si>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</si>
  <si>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</si>
  <si>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</si>
  <si>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</si>
  <si>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</si>
  <si>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</si>
  <si>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</si>
  <si>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</si>
  <si>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</si>
  <si>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</si>
  <si>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</si>
  <si>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</si>
  <si>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</si>
  <si>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</si>
  <si>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</si>
  <si>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</si>
  <si>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</si>
  <si>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</si>
  <si>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</si>
  <si>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</si>
  <si>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</si>
  <si>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</si>
  <si>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</si>
  <si>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</si>
  <si>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</si>
  <si>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</si>
  <si>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</si>
  <si>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</si>
  <si>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</si>
  <si>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</si>
  <si>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</si>
  <si>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</si>
  <si>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</si>
  <si>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</si>
  <si>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</si>
  <si>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</si>
  <si>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</si>
  <si>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</si>
  <si>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</si>
  <si>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</si>
  <si>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</si>
  <si>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</si>
  <si>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</si>
  <si>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</si>
  <si>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</si>
  <si>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</si>
  <si>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</si>
  <si>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</si>
  <si>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</si>
  <si>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</si>
  <si>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</si>
  <si>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</si>
  <si>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</si>
  <si>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</si>
  <si>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</si>
  <si>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</si>
  <si>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</si>
  <si>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</si>
  <si>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</si>
  <si>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</si>
  <si>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</si>
  <si>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</si>
  <si>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</si>
  <si>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</si>
  <si>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</si>
  <si>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</si>
  <si>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</si>
  <si>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</si>
  <si>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</si>
  <si>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</si>
  <si>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</si>
  <si>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</si>
  <si>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</si>
  <si>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</si>
  <si>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</si>
  <si>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</si>
  <si>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</si>
  <si>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</si>
  <si>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</si>
  <si>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</si>
  <si>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</si>
  <si>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</si>
  <si>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</si>
  <si>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</si>
  <si>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</si>
  <si>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</si>
  <si>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</si>
  <si>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</si>
  <si>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</si>
  <si>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</si>
  <si>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</si>
  <si>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</si>
  <si>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</si>
  <si>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</si>
  <si>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</si>
  <si>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</si>
  <si>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</si>
  <si>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</si>
  <si>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</si>
  <si>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</si>
  <si>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</si>
  <si>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</si>
  <si>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</si>
  <si>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</si>
  <si>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</si>
  <si>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</si>
  <si>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</si>
  <si>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</si>
  <si>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</si>
  <si>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</si>
  <si>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</si>
  <si>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</si>
  <si>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</si>
  <si>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</si>
  <si>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</si>
  <si>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</si>
  <si>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</si>
  <si>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</si>
  <si>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</si>
  <si>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</si>
  <si>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</si>
  <si>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</si>
  <si>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</si>
  <si>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</si>
  <si>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</si>
  <si>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</si>
  <si>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</si>
  <si>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</si>
  <si>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</si>
  <si>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</si>
  <si>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</si>
  <si>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</si>
  <si>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</si>
  <si>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</si>
  <si>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</si>
  <si>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</si>
  <si>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</si>
  <si>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</si>
  <si>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</si>
  <si>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</si>
  <si>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</si>
  <si>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</si>
  <si>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</si>
  <si>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</si>
  <si>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</si>
  <si>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</si>
  <si>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</si>
  <si>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</si>
  <si>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</si>
  <si>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</si>
  <si>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</si>
  <si>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</si>
  <si>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</si>
  <si>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</si>
  <si>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</si>
  <si>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</si>
  <si>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</si>
  <si>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</si>
  <si>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</si>
  <si>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</si>
  <si>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</si>
  <si>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</si>
  <si>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</si>
  <si>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</si>
  <si>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</si>
  <si>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</si>
  <si>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</si>
  <si>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</si>
  <si>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</si>
  <si>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</si>
  <si>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</si>
  <si>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</si>
  <si>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</si>
  <si>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</si>
  <si>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</si>
  <si>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</si>
  <si>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</si>
  <si>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</si>
  <si>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</si>
  <si>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</si>
  <si>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</si>
  <si>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</si>
  <si>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</si>
  <si>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</si>
  <si>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</si>
  <si>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</si>
  <si>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</si>
  <si>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</si>
  <si>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</si>
  <si>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</si>
  <si>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</si>
  <si>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</si>
  <si>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</si>
  <si>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</si>
  <si>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</si>
  <si>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</si>
  <si>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</si>
  <si>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</si>
  <si>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</si>
  <si>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</si>
  <si>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</si>
  <si>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</si>
  <si>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</si>
  <si>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</si>
  <si>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</si>
  <si>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</si>
  <si>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</si>
  <si>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</si>
  <si>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</si>
  <si>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</si>
  <si>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</si>
  <si>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</si>
  <si>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</si>
  <si>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</si>
  <si>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</si>
  <si>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</si>
  <si>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</si>
  <si>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</si>
  <si>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</si>
  <si>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</si>
  <si>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</si>
  <si>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</si>
  <si>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</si>
  <si>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</si>
  <si>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</si>
  <si>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</si>
  <si>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</si>
  <si>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</si>
  <si>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</si>
  <si>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</si>
  <si>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</si>
  <si>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</si>
  <si>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</si>
  <si>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</si>
  <si>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</si>
  <si>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</si>
  <si>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</si>
  <si>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</si>
  <si>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</si>
  <si>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</si>
  <si>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</si>
  <si>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</si>
  <si>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</si>
  <si>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</si>
  <si>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</si>
  <si>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</si>
  <si>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</si>
  <si>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</si>
  <si>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</si>
  <si>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</si>
  <si>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</si>
  <si>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</si>
  <si>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</si>
  <si>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</si>
  <si>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</si>
  <si>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</si>
  <si>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</si>
  <si>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</si>
  <si>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</si>
  <si>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</si>
  <si>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</si>
  <si>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</si>
  <si>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</si>
  <si>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</si>
  <si>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</si>
  <si>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</si>
  <si>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</si>
  <si>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</si>
  <si>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</si>
  <si>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</si>
  <si>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</si>
  <si>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</si>
  <si>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</si>
  <si>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</si>
  <si>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</si>
  <si>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</si>
  <si>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</si>
  <si>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</si>
  <si>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</si>
  <si>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</si>
  <si>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</si>
  <si>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</si>
  <si>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</si>
  <si>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</si>
  <si>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</si>
  <si>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</si>
  <si>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</si>
  <si>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</si>
  <si>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</si>
  <si>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</si>
  <si>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</si>
  <si>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</si>
  <si>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</si>
  <si>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</si>
  <si>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</si>
  <si>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</si>
  <si>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</si>
  <si>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</si>
  <si>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</si>
  <si>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</si>
  <si>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</si>
  <si>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</si>
  <si>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</si>
  <si>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</si>
  <si>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</si>
  <si>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</si>
  <si>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</si>
  <si>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</si>
  <si>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</si>
  <si>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</si>
  <si>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</si>
  <si>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</si>
  <si>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</si>
  <si>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</si>
  <si>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</si>
  <si>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</si>
  <si>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</si>
  <si>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</si>
  <si>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</si>
  <si>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</si>
  <si>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</si>
  <si>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</si>
  <si>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</si>
  <si>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</si>
  <si>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</si>
  <si>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</si>
  <si>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</si>
  <si>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</si>
  <si>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</si>
  <si>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</si>
  <si>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</si>
  <si>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</si>
  <si>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</si>
  <si>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</si>
  <si>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</si>
  <si>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</si>
  <si>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</si>
  <si>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</si>
  <si>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</si>
  <si>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</si>
  <si>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</si>
  <si>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</si>
  <si>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</si>
  <si>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</si>
  <si>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</si>
  <si>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</si>
  <si>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</si>
  <si>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</si>
  <si>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</si>
  <si>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</si>
  <si>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</si>
  <si>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</si>
  <si>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</si>
  <si>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</si>
  <si>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</si>
  <si>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</si>
  <si>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</si>
  <si>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</si>
  <si>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</si>
  <si>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</si>
  <si>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</si>
  <si>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</si>
  <si>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</si>
  <si>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</si>
  <si>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</si>
  <si>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</si>
  <si>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</si>
  <si>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</si>
  <si>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</si>
  <si>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</si>
  <si>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</si>
  <si>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</si>
  <si>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</si>
  <si>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</si>
  <si>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</si>
  <si>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</si>
  <si>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</si>
  <si>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</si>
  <si>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</si>
  <si>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</si>
  <si>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</si>
  <si>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</si>
  <si>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</si>
  <si>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</si>
  <si>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</si>
  <si>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</si>
  <si>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</si>
  <si>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</si>
  <si>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</si>
  <si>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</si>
  <si>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</si>
  <si>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</si>
  <si>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</si>
  <si>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</si>
  <si>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</si>
  <si>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</si>
  <si>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</si>
  <si>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</si>
  <si>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</si>
  <si>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</si>
  <si>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</si>
  <si>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</si>
  <si>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</si>
  <si>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</si>
  <si>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</si>
  <si>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</si>
  <si>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</si>
  <si>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</si>
  <si>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</si>
  <si>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</si>
  <si>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</si>
  <si>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</si>
  <si>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</si>
  <si>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</si>
  <si>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</si>
  <si>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</si>
  <si>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</si>
  <si>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</si>
  <si>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</si>
  <si>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</si>
  <si>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</si>
  <si>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</si>
  <si>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</si>
  <si>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</si>
  <si>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</si>
  <si>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</si>
  <si>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</si>
  <si>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</si>
  <si>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</si>
  <si>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</si>
  <si>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</si>
  <si>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</si>
  <si>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</si>
  <si>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</si>
  <si>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</si>
  <si>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</si>
  <si>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</si>
  <si>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</si>
  <si>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</si>
  <si>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</si>
  <si>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</si>
  <si>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</si>
  <si>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</si>
  <si>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</si>
  <si>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</si>
  <si>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</si>
  <si>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</si>
  <si>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</si>
  <si>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</si>
  <si>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</si>
  <si>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</si>
  <si>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</si>
  <si>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</si>
  <si>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</si>
  <si>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</si>
  <si>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</si>
  <si>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</si>
  <si>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</si>
  <si>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</si>
  <si>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</si>
  <si>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</si>
  <si>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</si>
  <si>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</si>
  <si>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</si>
  <si>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</si>
  <si>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</si>
  <si>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</si>
  <si>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</si>
  <si>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</si>
  <si>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</si>
  <si>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</si>
  <si>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</si>
  <si>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</si>
  <si>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</si>
  <si>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</si>
  <si>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</si>
  <si>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</si>
  <si>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</si>
  <si>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</si>
  <si>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</si>
  <si>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</si>
  <si>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</si>
  <si>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</si>
  <si>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</si>
  <si>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</si>
  <si>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</si>
  <si>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</si>
  <si>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</si>
  <si>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</si>
  <si>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</si>
  <si>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</si>
  <si>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</si>
  <si>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</si>
  <si>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</si>
  <si>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</si>
  <si>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</si>
  <si>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</si>
  <si>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</si>
  <si>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</si>
  <si>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</si>
  <si>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</si>
  <si>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</si>
  <si>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</si>
  <si>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</si>
  <si>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</si>
  <si>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</si>
  <si>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</si>
  <si>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</si>
  <si>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</si>
  <si>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</si>
  <si>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</si>
  <si>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</si>
  <si>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</si>
  <si>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</si>
  <si>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</si>
  <si>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</si>
  <si>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</si>
  <si>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</si>
  <si>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</si>
  <si>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</si>
  <si>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</si>
  <si>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</si>
  <si>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</si>
  <si>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</si>
  <si>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</si>
  <si>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</si>
  <si>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</si>
  <si>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</si>
  <si>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</si>
  <si>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</si>
  <si>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</si>
  <si>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</si>
  <si>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</si>
  <si>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</si>
  <si>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</si>
  <si>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</si>
  <si>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</si>
  <si>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</si>
  <si>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</si>
  <si>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</si>
  <si>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</si>
  <si>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</si>
  <si>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</si>
  <si>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</si>
  <si>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</si>
  <si>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</si>
  <si>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</si>
  <si>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</si>
  <si>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</si>
  <si>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</si>
  <si>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</si>
  <si>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</si>
  <si>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</si>
  <si>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</si>
  <si>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</si>
  <si>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</si>
  <si>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</si>
  <si>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</si>
  <si>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</si>
  <si>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</si>
  <si>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</si>
  <si>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</si>
  <si>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</si>
  <si>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</si>
  <si>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</si>
  <si>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</si>
  <si>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</si>
  <si>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</si>
  <si>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</si>
  <si>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</si>
  <si>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</si>
  <si>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</si>
  <si>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</si>
  <si>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</si>
  <si>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</si>
  <si>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</si>
  <si>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</si>
  <si>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</si>
  <si>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</si>
  <si>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</si>
  <si>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</si>
  <si>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</si>
  <si>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</si>
  <si>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</si>
  <si>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</si>
  <si>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</si>
  <si>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</si>
  <si>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</si>
  <si>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</si>
  <si>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</si>
  <si>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</si>
  <si>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</si>
  <si>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</si>
  <si>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</si>
  <si>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</si>
  <si>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</si>
  <si>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</si>
  <si>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</si>
  <si>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</si>
  <si>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</si>
  <si>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</si>
  <si>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</si>
  <si>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</si>
  <si>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</si>
  <si>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</si>
  <si>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</si>
  <si>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</si>
  <si>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</si>
  <si>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</si>
  <si>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</si>
  <si>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</si>
  <si>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</si>
  <si>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</si>
  <si>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</si>
  <si>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</si>
  <si>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</si>
  <si>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</si>
  <si>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</si>
  <si>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</si>
  <si>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</si>
  <si>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</si>
  <si>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</si>
  <si>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</si>
  <si>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</si>
  <si>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</si>
  <si>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</si>
  <si>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</si>
  <si>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</si>
  <si>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</si>
  <si>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</si>
  <si>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</si>
  <si>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</si>
  <si>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</si>
  <si>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</si>
  <si>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</si>
  <si>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</si>
  <si>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</si>
  <si>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</si>
  <si>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</si>
  <si>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</si>
  <si>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</si>
  <si>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</si>
  <si>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</si>
  <si>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</si>
  <si>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</si>
  <si>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</si>
  <si>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</si>
  <si>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</si>
  <si>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</si>
  <si>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</si>
  <si>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</si>
  <si>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</si>
  <si>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</si>
  <si>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</si>
  <si>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</si>
  <si>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</si>
  <si>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</si>
  <si>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</si>
  <si>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</si>
  <si>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</si>
  <si>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</si>
  <si>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</si>
  <si>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</si>
  <si>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</si>
  <si>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</si>
  <si>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</si>
  <si>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</si>
  <si>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</si>
  <si>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</si>
  <si>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</si>
  <si>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</si>
  <si>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</si>
  <si>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</si>
  <si>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</si>
  <si>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</si>
  <si>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</si>
  <si>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</si>
  <si>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</si>
  <si>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</si>
  <si>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</si>
  <si>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</si>
  <si>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</si>
  <si>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</si>
  <si>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</si>
  <si>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</si>
  <si>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</si>
  <si>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</si>
  <si>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</si>
  <si>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</si>
  <si>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</si>
  <si>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</si>
  <si>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</si>
  <si>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</si>
  <si>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</si>
  <si>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</si>
  <si>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</si>
  <si>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</si>
  <si>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</si>
  <si>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</si>
  <si>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</si>
  <si>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</si>
  <si>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</si>
  <si>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</si>
  <si>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</si>
  <si>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</si>
  <si>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</si>
  <si>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</si>
  <si>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</si>
  <si>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</si>
  <si>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</si>
  <si>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</si>
  <si>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</si>
  <si>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</si>
  <si>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</si>
  <si>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</si>
  <si>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</si>
  <si>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</si>
  <si>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</si>
  <si>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</si>
  <si>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</si>
  <si>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</si>
  <si>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</si>
  <si>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</si>
  <si>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</si>
  <si>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</si>
  <si>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</si>
  <si>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</si>
  <si>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</si>
  <si>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</si>
  <si>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</si>
  <si>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</si>
  <si>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</si>
  <si>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</si>
  <si>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</si>
  <si>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</si>
  <si>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</si>
  <si>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</si>
  <si>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</si>
  <si>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</si>
  <si>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</si>
  <si>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</si>
  <si>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</si>
  <si>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</si>
  <si>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</si>
  <si>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</si>
  <si>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</si>
  <si>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</si>
  <si>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</si>
  <si>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</si>
  <si>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</si>
  <si>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</si>
  <si>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</si>
  <si>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</si>
  <si>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</si>
  <si>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</si>
  <si>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</si>
  <si>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</si>
  <si>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</si>
  <si>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</si>
  <si>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</si>
  <si>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</si>
  <si>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</si>
  <si>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</si>
  <si>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</si>
  <si>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</si>
  <si>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</si>
  <si>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</si>
  <si>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</si>
  <si>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</si>
  <si>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</si>
  <si>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</si>
  <si>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</si>
  <si>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</si>
  <si>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</si>
  <si>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</si>
  <si>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</si>
  <si>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</si>
  <si>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</si>
  <si>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</si>
  <si>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</si>
  <si>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</si>
  <si>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</si>
  <si>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</si>
  <si>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</si>
  <si>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</si>
  <si>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</si>
  <si>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</si>
  <si>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</si>
  <si>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</si>
  <si>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</si>
  <si>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</si>
  <si>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</si>
  <si>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</si>
  <si>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</si>
  <si>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</si>
  <si>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</si>
  <si>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</si>
  <si>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</si>
  <si>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</si>
  <si>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</si>
  <si>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</si>
  <si>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</si>
  <si>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</si>
  <si>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</si>
  <si>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</si>
  <si>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</si>
  <si>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</si>
  <si>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</si>
  <si>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</si>
  <si>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</si>
  <si>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</si>
  <si>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</si>
  <si>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</si>
  <si>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</si>
  <si>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</si>
  <si>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</si>
  <si>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</si>
  <si>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</si>
  <si>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</si>
  <si>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</si>
  <si>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</si>
  <si>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</si>
  <si>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</si>
  <si>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</si>
  <si>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</si>
  <si>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</si>
  <si>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</si>
  <si>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</si>
  <si>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</si>
  <si>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</si>
  <si>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</si>
  <si>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</si>
  <si>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</si>
  <si>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</si>
  <si>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</si>
  <si>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</si>
  <si>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</si>
  <si>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</si>
  <si>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</si>
  <si>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</si>
  <si>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</si>
  <si>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</si>
  <si>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</si>
  <si>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</si>
  <si>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</si>
  <si>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</si>
  <si>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</si>
  <si>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</si>
  <si>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</si>
  <si>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</si>
  <si>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</si>
  <si>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</si>
  <si>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</si>
  <si>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</si>
  <si>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</si>
  <si>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</si>
  <si>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</si>
  <si>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</si>
  <si>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</si>
  <si>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</si>
  <si>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</si>
  <si>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</si>
  <si>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</si>
  <si>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</si>
  <si>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</si>
  <si>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</si>
  <si>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</si>
  <si>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</si>
  <si>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</si>
  <si>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</si>
  <si>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</si>
  <si>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</si>
  <si>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</si>
  <si>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</si>
  <si>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</si>
  <si>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</si>
  <si>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</si>
  <si>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</si>
  <si>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</si>
  <si>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</si>
  <si>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</si>
  <si>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</si>
  <si>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</si>
  <si>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</si>
  <si>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</si>
  <si>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</si>
  <si>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</si>
  <si>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</si>
  <si>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</si>
  <si>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</si>
  <si>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</si>
  <si>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</si>
  <si>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</si>
  <si>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</si>
  <si>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</si>
  <si>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</si>
  <si>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</si>
  <si>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</si>
  <si>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</si>
  <si>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</si>
  <si>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</si>
  <si>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</si>
  <si>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</si>
  <si>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</si>
  <si>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</si>
  <si>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</si>
  <si>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</si>
  <si>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</si>
  <si>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</si>
  <si>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</si>
  <si>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</si>
  <si>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</si>
  <si>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</si>
  <si>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</si>
  <si>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</si>
  <si>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</si>
  <si>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</si>
  <si>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</si>
  <si>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</si>
  <si>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</si>
  <si>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</si>
  <si>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</si>
  <si>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</si>
  <si>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</si>
  <si>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</si>
  <si>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</si>
  <si>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</si>
  <si>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</si>
  <si>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</si>
  <si>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</si>
  <si>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</si>
  <si>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</si>
  <si>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</si>
  <si>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</si>
  <si>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</si>
  <si>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</si>
  <si>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</si>
  <si>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</si>
  <si>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</si>
  <si>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</si>
  <si>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</si>
  <si>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</si>
  <si>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</si>
  <si>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</si>
  <si>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</si>
  <si>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</si>
  <si>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</si>
  <si>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</si>
  <si>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</si>
  <si>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</si>
  <si>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</si>
  <si>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</si>
  <si>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</si>
  <si>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</si>
  <si>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</si>
  <si>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</si>
  <si>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</si>
  <si>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</si>
  <si>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</si>
  <si>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</si>
  <si>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</si>
  <si>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</si>
  <si>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</si>
  <si>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</si>
  <si>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</si>
  <si>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</si>
  <si>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</si>
  <si>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</si>
  <si>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</si>
  <si>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</si>
  <si>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</si>
  <si>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</si>
  <si>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</si>
  <si>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</si>
  <si>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</si>
  <si>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</si>
  <si>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</si>
  <si>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</si>
  <si>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</si>
  <si>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</si>
  <si>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</si>
  <si>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</si>
  <si>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</si>
  <si>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</si>
  <si>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</si>
  <si>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</si>
  <si>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</si>
  <si>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</si>
  <si>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</si>
  <si>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</si>
  <si>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</si>
  <si>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</si>
  <si>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</si>
  <si>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</si>
  <si>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</si>
  <si>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</si>
  <si>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</si>
  <si>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</si>
  <si>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</si>
  <si>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</si>
  <si>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</si>
  <si>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</si>
  <si>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</si>
  <si>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</si>
  <si>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</si>
  <si>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</si>
  <si>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</si>
  <si>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</si>
  <si>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</si>
  <si>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</si>
  <si>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</si>
  <si>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</si>
  <si>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</si>
  <si>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</si>
  <si>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</si>
  <si>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</si>
  <si>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</si>
  <si>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</si>
  <si>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</si>
  <si>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</si>
  <si>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</si>
  <si>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</si>
  <si>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</si>
  <si>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</si>
  <si>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</si>
  <si>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</si>
  <si>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</si>
  <si>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</si>
  <si>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</si>
  <si>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</si>
  <si>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</si>
  <si>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</si>
  <si>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</si>
  <si>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</si>
  <si>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</si>
  <si>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</si>
  <si>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</si>
  <si>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</si>
  <si>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</si>
  <si>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</si>
  <si>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</si>
  <si>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</si>
  <si>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</si>
  <si>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</si>
  <si>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</si>
  <si>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</si>
  <si>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</si>
  <si>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</si>
  <si>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</si>
  <si>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</si>
  <si>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</si>
  <si>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</si>
  <si>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</si>
  <si>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</si>
  <si>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</si>
  <si>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</si>
  <si>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</si>
  <si>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</si>
  <si>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</si>
  <si>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</si>
  <si>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</si>
  <si>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</si>
  <si>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</si>
  <si>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</si>
  <si>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</si>
  <si>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</si>
  <si>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</si>
  <si>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</si>
  <si>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</si>
  <si>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</si>
  <si>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</si>
  <si>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</si>
  <si>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</si>
  <si>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</si>
  <si>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</si>
  <si>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</si>
  <si>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</si>
  <si>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</si>
  <si>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</si>
  <si>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</si>
  <si>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</si>
  <si>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</si>
  <si>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</si>
  <si>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</si>
  <si>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</si>
  <si>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</si>
  <si>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</si>
  <si>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</si>
  <si>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</si>
  <si>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</si>
  <si>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</si>
  <si>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</si>
  <si>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</si>
  <si>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</si>
  <si>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</si>
  <si>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</si>
  <si>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</si>
  <si>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</si>
  <si>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</si>
  <si>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</si>
  <si>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</si>
  <si>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</si>
  <si>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</si>
  <si>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</si>
  <si>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</si>
  <si>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</si>
  <si>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</si>
  <si>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</si>
  <si>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</si>
  <si>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</si>
  <si>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</si>
  <si>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</si>
  <si>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</si>
  <si>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</si>
  <si>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</si>
  <si>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</si>
  <si>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</si>
  <si>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</si>
  <si>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</si>
  <si>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</si>
  <si>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</si>
  <si>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</si>
  <si>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</si>
  <si>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</si>
  <si>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</si>
  <si>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</si>
  <si>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</si>
  <si>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</si>
  <si>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</si>
  <si>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</si>
  <si>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</si>
  <si>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</si>
  <si>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</si>
  <si>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</si>
  <si>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</si>
  <si>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</si>
  <si>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</si>
  <si>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</si>
  <si>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</si>
  <si>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</si>
  <si>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</si>
  <si>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</si>
  <si>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</si>
  <si>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</si>
  <si>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</si>
  <si>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</si>
  <si>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</si>
  <si>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</si>
  <si>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</si>
  <si>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</si>
  <si>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</si>
  <si>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</si>
  <si>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</si>
  <si>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</si>
  <si>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</si>
  <si>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</si>
  <si>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</si>
  <si>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</si>
  <si>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</si>
  <si>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</si>
  <si>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</si>
  <si>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</si>
  <si>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</si>
  <si>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</si>
  <si>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</si>
  <si>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</si>
  <si>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</si>
  <si>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</si>
  <si>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</si>
  <si>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</si>
  <si>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</si>
  <si>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</si>
  <si>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</si>
  <si>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</si>
  <si>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</si>
  <si>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</si>
  <si>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</si>
  <si>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</si>
  <si>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</si>
  <si>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</si>
  <si>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</si>
  <si>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</si>
  <si>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</si>
  <si>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</si>
  <si>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</si>
  <si>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</si>
  <si>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</si>
  <si>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</si>
  <si>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</si>
  <si>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</si>
  <si>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</si>
  <si>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</si>
  <si>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</si>
  <si>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</si>
  <si>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</si>
  <si>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</si>
  <si>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</si>
  <si>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</si>
  <si>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</si>
  <si>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</si>
  <si>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</si>
  <si>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</si>
  <si>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</si>
  <si>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</si>
  <si>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</si>
  <si>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</si>
  <si>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</si>
  <si>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</si>
  <si>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</si>
  <si>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</si>
  <si>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</si>
  <si>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</si>
  <si>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</si>
  <si>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</si>
  <si>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</si>
  <si>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</si>
  <si>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</si>
  <si>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</si>
  <si>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</si>
  <si>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</si>
  <si>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</si>
  <si>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</si>
  <si>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</si>
  <si>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</si>
  <si>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</si>
  <si>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</si>
  <si>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</si>
  <si>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</si>
  <si>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</si>
  <si>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</si>
  <si>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</si>
  <si>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</si>
  <si>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</si>
  <si>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</si>
  <si>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</si>
  <si>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</si>
  <si>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</si>
  <si>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</si>
  <si>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</si>
  <si>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</si>
  <si>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</si>
  <si>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</si>
  <si>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</si>
  <si>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</si>
  <si>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</si>
  <si>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</si>
  <si>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</si>
  <si>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</si>
  <si>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</si>
  <si>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</si>
  <si>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</si>
  <si>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</si>
  <si>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</si>
  <si>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</si>
  <si>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</si>
  <si>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</si>
  <si>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</si>
  <si>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</si>
  <si>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</si>
  <si>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</si>
  <si>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</si>
  <si>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</si>
  <si>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</si>
  <si>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</si>
  <si>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</si>
  <si>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</si>
  <si>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</si>
  <si>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</si>
  <si>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</si>
  <si>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</si>
  <si>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</si>
  <si>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</si>
  <si>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</si>
  <si>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</si>
  <si>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</si>
  <si>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</si>
  <si>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</si>
  <si>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</si>
  <si>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</si>
  <si>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</si>
  <si>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</si>
  <si>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</si>
  <si>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</si>
  <si>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</si>
  <si>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</si>
  <si>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</si>
  <si>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</si>
  <si>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</si>
  <si>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</si>
  <si>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</si>
  <si>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</si>
  <si>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</si>
  <si>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</si>
  <si>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</si>
  <si>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</si>
  <si>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</si>
  <si>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</si>
  <si>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</si>
  <si>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</si>
  <si>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</si>
  <si>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</si>
  <si>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</si>
  <si>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</si>
  <si>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</si>
  <si>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</si>
  <si>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</si>
  <si>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</si>
  <si>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</si>
  <si>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</si>
  <si>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</si>
  <si>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</si>
  <si>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</si>
  <si>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</si>
  <si>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</si>
  <si>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</si>
  <si>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</si>
  <si>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</si>
  <si>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</si>
  <si>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</si>
  <si>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</si>
  <si>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</si>
  <si>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</si>
  <si>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</si>
  <si>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</si>
  <si>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</si>
  <si>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</si>
  <si>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</si>
  <si>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</si>
  <si>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</si>
  <si>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</si>
  <si>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</si>
  <si>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</si>
  <si>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</si>
  <si>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</si>
  <si>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</si>
  <si>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</si>
  <si>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</si>
  <si>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</si>
  <si>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</si>
  <si>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</si>
  <si>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</si>
  <si>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</si>
  <si>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</si>
  <si>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</si>
  <si>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</si>
  <si>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</si>
  <si>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</si>
  <si>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</si>
  <si>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</si>
  <si>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</si>
  <si>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</si>
  <si>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</si>
  <si>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</si>
  <si>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</si>
  <si>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</si>
  <si>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</si>
  <si>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</si>
  <si>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</si>
  <si>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</si>
  <si>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</si>
  <si>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</si>
  <si>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</si>
  <si>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</si>
  <si>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</si>
  <si>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</si>
  <si>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</si>
  <si>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</si>
  <si>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</si>
  <si>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</si>
  <si>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</si>
  <si>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</si>
  <si>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</si>
  <si>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</si>
  <si>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</si>
  <si>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</si>
  <si>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</si>
  <si>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</si>
  <si>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</si>
  <si>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</si>
  <si>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</si>
  <si>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</si>
  <si>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</si>
  <si>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</si>
  <si>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</si>
  <si>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</si>
  <si>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</si>
  <si>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</si>
  <si>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</si>
  <si>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</si>
  <si>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</si>
  <si>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</si>
  <si>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</si>
  <si>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</si>
  <si>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</si>
  <si>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</si>
  <si>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</si>
  <si>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</si>
  <si>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</si>
  <si>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</si>
  <si>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</si>
  <si>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</si>
  <si>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</si>
  <si>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</si>
  <si>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</si>
  <si>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</si>
  <si>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</si>
  <si>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</si>
  <si>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</si>
  <si>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</si>
  <si>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</si>
  <si>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</si>
  <si>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</si>
  <si>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</si>
  <si>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</si>
  <si>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</si>
  <si>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</si>
  <si>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</si>
  <si>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</si>
  <si>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</si>
  <si>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</si>
  <si>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</si>
  <si>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</si>
  <si>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</si>
  <si>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</si>
  <si>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</si>
  <si>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</si>
  <si>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</si>
  <si>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</si>
  <si>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</si>
  <si>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</si>
  <si>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</si>
  <si>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</si>
  <si>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</si>
  <si>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</si>
  <si>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</si>
  <si>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</si>
  <si>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</si>
  <si>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</si>
  <si>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</si>
  <si>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</si>
  <si>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</si>
  <si>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</si>
  <si>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</si>
  <si>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</si>
  <si>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</si>
  <si>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</si>
  <si>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</si>
  <si>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</si>
  <si>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</si>
  <si>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</si>
  <si>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</si>
  <si>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</si>
  <si>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</si>
  <si>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</si>
  <si>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</si>
  <si>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</si>
  <si>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</si>
  <si>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</si>
  <si>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</si>
  <si>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</si>
  <si>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</si>
  <si>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</si>
  <si>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</si>
  <si>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</si>
  <si>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</si>
  <si>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</si>
  <si>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</si>
  <si>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</si>
  <si>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</si>
  <si>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</si>
  <si>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</si>
  <si>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</si>
  <si>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</si>
  <si>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</si>
  <si>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</si>
  <si>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</si>
  <si>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</si>
  <si>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</si>
  <si>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</si>
  <si>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</si>
  <si>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</si>
  <si>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</si>
  <si>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</si>
  <si>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</si>
  <si>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</si>
  <si>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</si>
  <si>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</si>
  <si>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</si>
  <si>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</si>
  <si>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</si>
  <si>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</si>
  <si>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</si>
  <si>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</si>
  <si>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</si>
  <si>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</si>
  <si>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</si>
  <si>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</si>
  <si>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</si>
  <si>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</si>
  <si>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</si>
  <si>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</si>
  <si>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</si>
  <si>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</si>
  <si>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</si>
  <si>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</si>
  <si>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</si>
  <si>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</si>
  <si>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</si>
  <si>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</si>
  <si>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</si>
  <si>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</si>
  <si>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</si>
  <si>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</si>
  <si>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</si>
  <si>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</si>
  <si>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</si>
  <si>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</si>
  <si>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</si>
  <si>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</si>
  <si>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</si>
  <si>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</si>
  <si>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</si>
  <si>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</si>
  <si>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</si>
  <si>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</si>
  <si>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</si>
  <si>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</si>
  <si>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</si>
  <si>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</si>
  <si>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</si>
  <si>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</si>
  <si>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</si>
  <si>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</si>
  <si>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</si>
  <si>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</si>
  <si>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</si>
  <si>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</si>
  <si>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</si>
  <si>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</si>
  <si>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</si>
  <si>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</si>
  <si>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</si>
  <si>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</si>
  <si>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</si>
  <si>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</si>
  <si>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</si>
  <si>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</si>
  <si>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</si>
  <si>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</si>
  <si>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</si>
  <si>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</si>
  <si>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</si>
  <si>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</si>
  <si>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</si>
  <si>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</si>
  <si>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</si>
  <si>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</si>
  <si>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</si>
  <si>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</si>
  <si>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</si>
  <si>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</si>
  <si>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</si>
  <si>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</si>
  <si>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</si>
  <si>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</si>
  <si>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</si>
  <si>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</si>
  <si>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</si>
  <si>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</si>
  <si>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</si>
  <si>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</si>
  <si>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</si>
  <si>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</si>
  <si>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</si>
  <si>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</si>
  <si>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</si>
  <si>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</si>
  <si>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</si>
  <si>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</si>
  <si>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</si>
  <si>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</si>
  <si>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</si>
  <si>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</si>
  <si>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</si>
  <si>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</si>
  <si>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</si>
  <si>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</si>
  <si>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</si>
  <si>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</si>
  <si>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</si>
  <si>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</si>
  <si>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</si>
  <si>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</si>
  <si>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</si>
  <si>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</si>
  <si>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</si>
  <si>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</si>
  <si>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</si>
  <si>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</si>
  <si>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</si>
  <si>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</si>
  <si>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</si>
  <si>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</si>
  <si>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</si>
  <si>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</si>
  <si>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</si>
  <si>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</si>
  <si>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</si>
  <si>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</si>
  <si>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</si>
  <si>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</si>
  <si>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</si>
  <si>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</si>
  <si>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</si>
  <si>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</si>
  <si>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</si>
  <si>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</si>
  <si>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</si>
  <si>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</si>
  <si>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</si>
  <si>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</si>
  <si>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Steel Galvanizing</t>
  </si>
  <si>
    <t>062109442</t>
  </si>
  <si>
    <t>DUNS</t>
  </si>
  <si>
    <t>3100 W. 7th St., Fort Worth, TX 76107</t>
  </si>
  <si>
    <t>Bradshaw Hawkins</t>
  </si>
  <si>
    <t>bradshawhawkins@azz.com</t>
  </si>
  <si>
    <t>817-810-5010</t>
  </si>
  <si>
    <t>Attorney</t>
  </si>
  <si>
    <t>https:/www.azz.com/corporate-social-compliance</t>
  </si>
  <si>
    <t>AZZ Inc. (Galvanizing Affiliates)</t>
  </si>
  <si>
    <t>AZZ only requires our direct suppliers to be in compliance with applicable law, which does not require a statement clarifying DRC conflict-free status.</t>
  </si>
  <si>
    <t>AZZ makes commercially resonable efforts to comply with conflict-free sourcing practices and internal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</si>
</sst>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5">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7"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8"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9"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0"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1"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2"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3"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5"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1" fillId="0" borderId="0" xfId="0" applyNumberFormat="1" applyFont="1" applyAlignment="1">
      <alignment horizontal="left" vertical="center" wrapText="1"/>
    </xf>
    <xf numFmtId="9" fontId="119"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2"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9"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0"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9"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5"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3" fillId="0" borderId="0" xfId="527" applyFont="1" applyFill="1" applyAlignment="1">
      <alignment horizontal="left" vertical="center" wrapText="1"/>
    </xf>
    <xf numFmtId="164" fontId="6" fillId="0" borderId="0" xfId="480" applyAlignment="1">
      <alignment vertical="center"/>
    </xf>
    <xf numFmtId="0" fontId="124" fillId="0" borderId="0" xfId="0" applyFont="1" applyAlignment="1">
      <alignment vertical="center" wrapText="1"/>
    </xf>
    <xf numFmtId="0" fontId="55" fillId="0" borderId="0" xfId="0" applyFont="1" applyAlignment="1">
      <alignment vertical="center"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2" fillId="0" borderId="25" xfId="487" applyFont="1" applyFill="1" applyBorder="1" applyAlignment="1" applyProtection="1">
      <alignment horizontal="left" vertical="center" wrapText="1"/>
    </xf>
    <xf numFmtId="0" fontId="102" fillId="0" borderId="18" xfId="487" applyFont="1" applyFill="1" applyBorder="1" applyAlignment="1" applyProtection="1">
      <alignment horizontal="left" vertical="center" wrapText="1"/>
    </xf>
    <xf numFmtId="0" fontId="102" fillId="0" borderId="53" xfId="487" applyFont="1" applyFill="1" applyBorder="1" applyAlignment="1" applyProtection="1">
      <alignment horizontal="left" vertical="center" wrapText="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xf>
    <xf numFmtId="49" fontId="103" fillId="2" borderId="1" xfId="487" applyNumberFormat="1" applyFont="1" applyFill="1" applyBorder="1" applyAlignment="1" applyProtection="1">
      <alignment horizontal="left" vertical="center" wrapText="1"/>
      <protection locked="0"/>
    </xf>
    <xf numFmtId="49" fontId="103"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xf>
    <xf numFmtId="49" fontId="104" fillId="2" borderId="1" xfId="0" applyNumberFormat="1" applyFont="1" applyFill="1" applyBorder="1" applyAlignment="1" applyProtection="1">
      <alignment horizontal="left" vertical="center" wrapText="1"/>
      <protection locked="0"/>
    </xf>
    <xf numFmtId="49" fontId="104"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radshawhawkins@azz.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bradshawhawkins@azz.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53"/>
      <c r="B2" s="38" t="s">
        <v>963</v>
      </c>
      <c r="C2" s="36"/>
      <c r="D2" s="207"/>
      <c r="E2" s="3"/>
      <c r="F2" s="36"/>
      <c r="G2" s="34"/>
    </row>
    <row r="3" spans="1:7">
      <c r="A3" s="353"/>
      <c r="B3" s="5" t="s">
        <v>952</v>
      </c>
      <c r="C3" s="6"/>
      <c r="D3" s="208"/>
      <c r="E3" s="3"/>
      <c r="F3" s="6"/>
      <c r="G3" s="34"/>
    </row>
    <row r="4" spans="1:7" ht="15.75">
      <c r="A4" s="353"/>
      <c r="B4" s="41" t="s">
        <v>965</v>
      </c>
      <c r="C4" s="7"/>
      <c r="D4" s="209"/>
      <c r="E4" s="3"/>
      <c r="F4" s="7"/>
      <c r="G4" s="34"/>
    </row>
    <row r="5" spans="1:7">
      <c r="A5" s="353"/>
      <c r="B5" s="40" t="s">
        <v>1157</v>
      </c>
      <c r="C5" s="4"/>
      <c r="D5" s="210"/>
      <c r="E5" s="3"/>
      <c r="F5" s="4"/>
      <c r="G5" s="34"/>
    </row>
    <row r="6" spans="1:7">
      <c r="A6" s="353"/>
      <c r="B6" s="8"/>
      <c r="C6" s="8"/>
      <c r="D6" s="211"/>
      <c r="E6" s="8"/>
      <c r="F6" s="8"/>
      <c r="G6" s="34"/>
    </row>
    <row r="7" spans="1:7">
      <c r="A7" s="353"/>
      <c r="B7" s="8"/>
      <c r="C7" s="8"/>
      <c r="D7" s="211"/>
      <c r="E7" s="8"/>
      <c r="F7" s="8"/>
      <c r="G7" s="34"/>
    </row>
    <row r="8" spans="1:7">
      <c r="A8" s="353"/>
      <c r="B8" s="8"/>
      <c r="C8" s="8"/>
      <c r="D8" s="211"/>
      <c r="E8" s="8"/>
      <c r="F8" s="8"/>
      <c r="G8" s="34"/>
    </row>
    <row r="9" spans="1:7">
      <c r="A9" s="353"/>
      <c r="B9" s="356" t="s">
        <v>966</v>
      </c>
      <c r="C9" s="356"/>
      <c r="D9" s="356"/>
      <c r="E9" s="356"/>
      <c r="F9" s="356"/>
      <c r="G9" s="34"/>
    </row>
    <row r="10" spans="1:7" ht="27" customHeight="1">
      <c r="A10" s="353"/>
      <c r="B10" s="357" t="s">
        <v>506</v>
      </c>
      <c r="C10" s="357"/>
      <c r="D10" s="357"/>
      <c r="E10" s="357"/>
      <c r="F10" s="357"/>
      <c r="G10" s="34"/>
    </row>
    <row r="11" spans="1:7" ht="27" customHeight="1">
      <c r="A11" s="353"/>
      <c r="B11" s="358"/>
      <c r="C11" s="358"/>
      <c r="D11" s="358"/>
      <c r="E11" s="358"/>
      <c r="F11" s="358"/>
      <c r="G11" s="34"/>
    </row>
    <row r="12" spans="1:7" ht="16.5">
      <c r="A12" s="353"/>
      <c r="B12" s="42" t="s">
        <v>964</v>
      </c>
      <c r="C12" s="43" t="s">
        <v>967</v>
      </c>
      <c r="D12" s="212" t="s">
        <v>968</v>
      </c>
      <c r="E12" s="43" t="s">
        <v>701</v>
      </c>
      <c r="F12" s="43" t="s">
        <v>702</v>
      </c>
      <c r="G12" s="34"/>
    </row>
    <row r="13" spans="1:7" ht="33.75">
      <c r="A13" s="353"/>
      <c r="B13" s="2">
        <v>1</v>
      </c>
      <c r="C13" s="37" t="s">
        <v>1208</v>
      </c>
      <c r="D13" s="39" t="s">
        <v>992</v>
      </c>
      <c r="E13" s="196" t="s">
        <v>969</v>
      </c>
      <c r="F13" s="196"/>
      <c r="G13" s="34"/>
    </row>
    <row r="14" spans="1:7" ht="33.75">
      <c r="A14" s="353"/>
      <c r="B14" s="2">
        <v>2</v>
      </c>
      <c r="C14" s="37" t="s">
        <v>1208</v>
      </c>
      <c r="D14" s="39" t="s">
        <v>1142</v>
      </c>
      <c r="E14" s="196" t="s">
        <v>602</v>
      </c>
      <c r="F14" s="196" t="s">
        <v>603</v>
      </c>
      <c r="G14" s="34"/>
    </row>
    <row r="15" spans="1:7" ht="89.1" customHeight="1">
      <c r="A15" s="353"/>
      <c r="B15" s="359">
        <v>2.0099999999999998</v>
      </c>
      <c r="C15" s="350" t="s">
        <v>1208</v>
      </c>
      <c r="D15" s="362" t="s">
        <v>2686</v>
      </c>
      <c r="E15" s="197" t="s">
        <v>703</v>
      </c>
      <c r="F15" s="197" t="s">
        <v>706</v>
      </c>
      <c r="G15" s="34"/>
    </row>
    <row r="16" spans="1:7" ht="99" customHeight="1">
      <c r="A16" s="353"/>
      <c r="B16" s="360"/>
      <c r="C16" s="351"/>
      <c r="D16" s="363"/>
      <c r="E16" s="198"/>
      <c r="F16" s="198" t="s">
        <v>704</v>
      </c>
      <c r="G16" s="34"/>
    </row>
    <row r="17" spans="1:7" ht="63" customHeight="1">
      <c r="A17" s="353"/>
      <c r="B17" s="361"/>
      <c r="C17" s="352"/>
      <c r="D17" s="364"/>
      <c r="E17" s="37"/>
      <c r="F17" s="37" t="s">
        <v>705</v>
      </c>
      <c r="G17" s="34"/>
    </row>
    <row r="18" spans="1:7" ht="117" customHeight="1">
      <c r="A18" s="353"/>
      <c r="B18" s="359">
        <v>2.02</v>
      </c>
      <c r="C18" s="350" t="s">
        <v>1208</v>
      </c>
      <c r="D18" s="362" t="s">
        <v>2687</v>
      </c>
      <c r="E18" s="197" t="s">
        <v>507</v>
      </c>
      <c r="F18" s="197" t="s">
        <v>596</v>
      </c>
      <c r="G18" s="34"/>
    </row>
    <row r="19" spans="1:7" ht="71.099999999999994" customHeight="1">
      <c r="A19" s="353"/>
      <c r="B19" s="360"/>
      <c r="C19" s="351"/>
      <c r="D19" s="363"/>
      <c r="E19" s="198" t="s">
        <v>601</v>
      </c>
      <c r="F19" s="198" t="s">
        <v>508</v>
      </c>
      <c r="G19" s="34"/>
    </row>
    <row r="20" spans="1:7" ht="90.75" customHeight="1">
      <c r="A20" s="353"/>
      <c r="B20" s="360"/>
      <c r="C20" s="351"/>
      <c r="D20" s="363"/>
      <c r="E20" s="198"/>
      <c r="F20" s="198" t="s">
        <v>708</v>
      </c>
      <c r="G20" s="34"/>
    </row>
    <row r="21" spans="1:7" ht="74.25" customHeight="1">
      <c r="A21" s="353"/>
      <c r="B21" s="361"/>
      <c r="C21" s="352"/>
      <c r="D21" s="364"/>
      <c r="E21" s="37"/>
      <c r="F21" s="37" t="s">
        <v>707</v>
      </c>
      <c r="G21" s="34"/>
    </row>
    <row r="22" spans="1:7" ht="90" customHeight="1">
      <c r="A22" s="353"/>
      <c r="B22" s="368">
        <v>2.0299999999999998</v>
      </c>
      <c r="C22" s="368" t="s">
        <v>935</v>
      </c>
      <c r="D22" s="347" t="s">
        <v>2688</v>
      </c>
      <c r="E22" s="350" t="s">
        <v>505</v>
      </c>
      <c r="F22" s="197" t="s">
        <v>529</v>
      </c>
      <c r="G22" s="34"/>
    </row>
    <row r="23" spans="1:7" ht="109.5" customHeight="1">
      <c r="A23" s="353"/>
      <c r="B23" s="369"/>
      <c r="C23" s="369"/>
      <c r="D23" s="348"/>
      <c r="E23" s="351"/>
      <c r="F23" s="198" t="s">
        <v>936</v>
      </c>
      <c r="G23" s="34"/>
    </row>
    <row r="24" spans="1:7" ht="74.25" customHeight="1">
      <c r="A24" s="353"/>
      <c r="B24" s="370"/>
      <c r="C24" s="370"/>
      <c r="D24" s="349"/>
      <c r="E24" s="352"/>
      <c r="F24" s="37" t="s">
        <v>504</v>
      </c>
      <c r="G24" s="34"/>
    </row>
    <row r="25" spans="1:7" ht="72" customHeight="1">
      <c r="A25" s="353"/>
      <c r="B25" s="2" t="s">
        <v>527</v>
      </c>
      <c r="C25" s="37" t="s">
        <v>528</v>
      </c>
      <c r="D25" s="39" t="s">
        <v>2689</v>
      </c>
      <c r="E25" s="37" t="s">
        <v>2682</v>
      </c>
      <c r="F25" s="37" t="s">
        <v>530</v>
      </c>
      <c r="G25" s="34"/>
    </row>
    <row r="26" spans="1:7" ht="98.1" customHeight="1">
      <c r="A26" s="353"/>
      <c r="B26" s="365">
        <v>3</v>
      </c>
      <c r="C26" s="359" t="s">
        <v>74</v>
      </c>
      <c r="D26" s="362" t="s">
        <v>2690</v>
      </c>
      <c r="E26" s="350" t="s">
        <v>0</v>
      </c>
      <c r="F26" s="197" t="s">
        <v>68</v>
      </c>
      <c r="G26" s="34"/>
    </row>
    <row r="27" spans="1:7" ht="90" customHeight="1">
      <c r="A27" s="353"/>
      <c r="B27" s="366"/>
      <c r="C27" s="360"/>
      <c r="D27" s="363"/>
      <c r="E27" s="351"/>
      <c r="F27" s="198" t="s">
        <v>63</v>
      </c>
      <c r="G27" s="34"/>
    </row>
    <row r="28" spans="1:7" ht="19.350000000000001" customHeight="1">
      <c r="A28" s="353"/>
      <c r="B28" s="366"/>
      <c r="C28" s="360"/>
      <c r="D28" s="363"/>
      <c r="E28" s="351"/>
      <c r="F28" s="198" t="s">
        <v>64</v>
      </c>
      <c r="G28" s="34"/>
    </row>
    <row r="29" spans="1:7" ht="74.45" customHeight="1">
      <c r="A29" s="353"/>
      <c r="B29" s="366"/>
      <c r="C29" s="360"/>
      <c r="D29" s="363"/>
      <c r="E29" s="351"/>
      <c r="F29" s="198" t="s">
        <v>65</v>
      </c>
      <c r="G29" s="34"/>
    </row>
    <row r="30" spans="1:7" ht="62.45" customHeight="1">
      <c r="A30" s="353"/>
      <c r="B30" s="366"/>
      <c r="C30" s="360"/>
      <c r="D30" s="363"/>
      <c r="E30" s="351"/>
      <c r="F30" s="198" t="s">
        <v>66</v>
      </c>
      <c r="G30" s="34"/>
    </row>
    <row r="31" spans="1:7" ht="81" customHeight="1">
      <c r="A31" s="353"/>
      <c r="B31" s="366"/>
      <c r="C31" s="360"/>
      <c r="D31" s="363"/>
      <c r="E31" s="351"/>
      <c r="F31" s="198" t="s">
        <v>67</v>
      </c>
      <c r="G31" s="34"/>
    </row>
    <row r="32" spans="1:7" ht="48.75" customHeight="1">
      <c r="A32" s="353"/>
      <c r="B32" s="366"/>
      <c r="C32" s="360"/>
      <c r="D32" s="363"/>
      <c r="E32" s="351"/>
      <c r="F32" s="198" t="s">
        <v>70</v>
      </c>
      <c r="G32" s="34"/>
    </row>
    <row r="33" spans="1:7" ht="98.45" customHeight="1">
      <c r="A33" s="353"/>
      <c r="B33" s="366"/>
      <c r="C33" s="360"/>
      <c r="D33" s="363"/>
      <c r="E33" s="351"/>
      <c r="F33" s="198" t="s">
        <v>69</v>
      </c>
      <c r="G33" s="34"/>
    </row>
    <row r="34" spans="1:7" ht="89.1" customHeight="1">
      <c r="A34" s="353"/>
      <c r="B34" s="366"/>
      <c r="C34" s="360"/>
      <c r="D34" s="363"/>
      <c r="E34" s="351"/>
      <c r="F34" s="198" t="s">
        <v>71</v>
      </c>
      <c r="G34" s="34"/>
    </row>
    <row r="35" spans="1:7" ht="29.1" customHeight="1">
      <c r="A35" s="353"/>
      <c r="B35" s="366"/>
      <c r="C35" s="360"/>
      <c r="D35" s="363"/>
      <c r="E35" s="351"/>
      <c r="F35" s="198" t="s">
        <v>72</v>
      </c>
      <c r="G35" s="34"/>
    </row>
    <row r="36" spans="1:7" ht="126.75">
      <c r="A36" s="353"/>
      <c r="B36" s="367"/>
      <c r="C36" s="361"/>
      <c r="D36" s="364"/>
      <c r="E36" s="352"/>
      <c r="F36" s="199" t="s">
        <v>73</v>
      </c>
      <c r="G36" s="34"/>
    </row>
    <row r="37" spans="1:7" ht="123.75">
      <c r="A37" s="353"/>
      <c r="B37" s="175">
        <v>3.01</v>
      </c>
      <c r="C37" s="176" t="s">
        <v>74</v>
      </c>
      <c r="D37" s="39" t="s">
        <v>2691</v>
      </c>
      <c r="E37" s="200" t="s">
        <v>1458</v>
      </c>
      <c r="F37" s="201" t="s">
        <v>1577</v>
      </c>
      <c r="G37" s="34"/>
    </row>
    <row r="38" spans="1:7" ht="112.5">
      <c r="A38" s="353"/>
      <c r="B38" s="175">
        <v>3.02</v>
      </c>
      <c r="C38" s="176" t="s">
        <v>1492</v>
      </c>
      <c r="D38" s="39" t="s">
        <v>2692</v>
      </c>
      <c r="E38" s="200" t="s">
        <v>1507</v>
      </c>
      <c r="F38" s="201" t="s">
        <v>1578</v>
      </c>
      <c r="G38" s="34"/>
    </row>
    <row r="39" spans="1:7" ht="101.25">
      <c r="A39" s="353"/>
      <c r="B39" s="184">
        <v>4</v>
      </c>
      <c r="C39" s="183" t="s">
        <v>1757</v>
      </c>
      <c r="D39" s="39" t="s">
        <v>2693</v>
      </c>
      <c r="E39" s="37" t="s">
        <v>2625</v>
      </c>
      <c r="F39" s="37" t="s">
        <v>1758</v>
      </c>
      <c r="G39" s="34"/>
    </row>
    <row r="40" spans="1:7" ht="56.25">
      <c r="A40" s="353"/>
      <c r="B40" s="175">
        <v>4.01</v>
      </c>
      <c r="C40" s="183" t="s">
        <v>1757</v>
      </c>
      <c r="D40" s="39" t="s">
        <v>2695</v>
      </c>
      <c r="E40" s="37" t="s">
        <v>2644</v>
      </c>
      <c r="F40" s="37" t="s">
        <v>2649</v>
      </c>
      <c r="G40" s="34"/>
    </row>
    <row r="41" spans="1:7" ht="56.25">
      <c r="A41" s="353"/>
      <c r="B41" s="175" t="s">
        <v>2680</v>
      </c>
      <c r="C41" s="183" t="s">
        <v>1757</v>
      </c>
      <c r="D41" s="39" t="s">
        <v>2694</v>
      </c>
      <c r="E41" s="37" t="s">
        <v>2683</v>
      </c>
      <c r="F41" s="37" t="s">
        <v>2681</v>
      </c>
      <c r="G41" s="34"/>
    </row>
    <row r="42" spans="1:7" ht="56.25">
      <c r="A42" s="353"/>
      <c r="B42" s="175" t="s">
        <v>2732</v>
      </c>
      <c r="C42" s="183" t="s">
        <v>1757</v>
      </c>
      <c r="D42" s="39" t="s">
        <v>2903</v>
      </c>
      <c r="E42" s="37" t="s">
        <v>2682</v>
      </c>
      <c r="F42" s="37" t="s">
        <v>2733</v>
      </c>
      <c r="G42" s="34"/>
    </row>
    <row r="43" spans="1:7" ht="123.75">
      <c r="A43" s="353"/>
      <c r="B43" s="193">
        <v>4.0999999999999996</v>
      </c>
      <c r="C43" s="183" t="s">
        <v>2902</v>
      </c>
      <c r="D43" s="194">
        <v>42867</v>
      </c>
      <c r="E43" s="202" t="s">
        <v>2905</v>
      </c>
      <c r="F43" s="37" t="s">
        <v>2904</v>
      </c>
      <c r="G43" s="34"/>
    </row>
    <row r="44" spans="1:7" ht="78.75">
      <c r="A44" s="353"/>
      <c r="B44" s="193">
        <v>4.2</v>
      </c>
      <c r="C44" s="183" t="s">
        <v>2902</v>
      </c>
      <c r="D44" s="194">
        <v>42704</v>
      </c>
      <c r="E44" s="202" t="s">
        <v>3155</v>
      </c>
      <c r="F44" s="37" t="s">
        <v>3120</v>
      </c>
      <c r="G44" s="34"/>
    </row>
    <row r="45" spans="1:7" ht="157.5">
      <c r="A45" s="353"/>
      <c r="B45" s="241">
        <v>5</v>
      </c>
      <c r="C45" s="183" t="s">
        <v>2902</v>
      </c>
      <c r="D45" s="194">
        <v>42867</v>
      </c>
      <c r="E45" s="202" t="s">
        <v>13730</v>
      </c>
      <c r="F45" s="37" t="s">
        <v>13315</v>
      </c>
      <c r="G45" s="34"/>
    </row>
    <row r="46" spans="1:7" ht="45">
      <c r="A46" s="353"/>
      <c r="B46" s="193">
        <v>5.01</v>
      </c>
      <c r="C46" s="183" t="s">
        <v>2902</v>
      </c>
      <c r="D46" s="194">
        <v>42907</v>
      </c>
      <c r="E46" s="202" t="s">
        <v>13786</v>
      </c>
      <c r="F46" s="37" t="s">
        <v>13315</v>
      </c>
      <c r="G46" s="34"/>
    </row>
    <row r="47" spans="1:7" ht="67.5">
      <c r="A47" s="353"/>
      <c r="B47" s="193">
        <v>5.0999999999999996</v>
      </c>
      <c r="C47" s="183" t="s">
        <v>2902</v>
      </c>
      <c r="D47" s="194">
        <v>43070</v>
      </c>
      <c r="E47" s="202" t="s">
        <v>13985</v>
      </c>
      <c r="F47" s="37" t="s">
        <v>13986</v>
      </c>
      <c r="G47" s="34"/>
    </row>
    <row r="48" spans="1:7" ht="56.25">
      <c r="A48" s="353"/>
      <c r="B48" s="193">
        <v>5.1100000000000003</v>
      </c>
      <c r="C48" s="183" t="s">
        <v>14260</v>
      </c>
      <c r="D48" s="194">
        <v>43217</v>
      </c>
      <c r="E48" s="202" t="s">
        <v>14404</v>
      </c>
      <c r="F48" s="37" t="s">
        <v>14299</v>
      </c>
      <c r="G48" s="34"/>
    </row>
    <row r="49" spans="1:7" ht="56.25">
      <c r="A49" s="353"/>
      <c r="B49" s="193">
        <v>5.12</v>
      </c>
      <c r="C49" s="183" t="s">
        <v>14260</v>
      </c>
      <c r="D49" s="194">
        <v>43581</v>
      </c>
      <c r="E49" s="202" t="s">
        <v>14404</v>
      </c>
      <c r="F49" s="37" t="s">
        <v>15467</v>
      </c>
      <c r="G49" s="34"/>
    </row>
    <row r="50" spans="1:7" ht="13.5" thickBot="1">
      <c r="A50" s="354"/>
      <c r="B50" s="355" t="str">
        <f ca="1">OFFSET(L!$C$1,MATCH("General"&amp;"Cpy",L!$A:$A,0)-1,SL,,)</f>
        <v>© 2019 Responsible Minerals Initiative. All rights reserved.</v>
      </c>
      <c r="C50" s="355"/>
      <c r="D50" s="355"/>
      <c r="E50" s="355"/>
      <c r="F50" s="355"/>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91"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1"/>
      <c r="B1" s="372"/>
      <c r="C1" s="372"/>
      <c r="D1" s="373"/>
    </row>
    <row r="2" spans="1:5" ht="71.25" customHeight="1">
      <c r="A2" s="90"/>
      <c r="B2" s="171" t="str">
        <f ca="1">OFFSET(L!$C$1,MATCH("Definitions"&amp;ADDRESS(ROW(),COLUMN(),4),L!$A:$A,0)-1,SL,,)</f>
        <v>ITEM</v>
      </c>
      <c r="C2" s="171" t="str">
        <f ca="1">OFFSET(L!$C$1,MATCH("Definitions"&amp;ADDRESS(ROW(),COLUMN(),4),L!$A:$A,0)-1,SL,,)</f>
        <v>DEFINITION</v>
      </c>
      <c r="D2" s="375"/>
      <c r="E2" s="131"/>
    </row>
    <row r="3" spans="1:5" ht="63.95" customHeight="1">
      <c r="A3" s="90"/>
      <c r="B3" s="77" t="str">
        <f ca="1">OFFSET(L!$C$1,MATCH("Definitions"&amp;ADDRESS(ROW(),COLUMN(),4),L!$A:$A,0)-1,SL,,)</f>
        <v>3TG</v>
      </c>
      <c r="C3" s="77" t="str">
        <f ca="1">OFFSET(L!$C$1,MATCH("Definitions"&amp;ADDRESS(ROW(),COLUMN(),4),L!$A:$A,0)-1,SL,,)</f>
        <v>Tantalum, tin, tungsten, gold</v>
      </c>
      <c r="D3" s="37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5"/>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5"/>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5"/>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5"/>
      <c r="E8" s="132" t="s">
        <v>1443</v>
      </c>
    </row>
    <row r="9" spans="1:5" ht="45">
      <c r="A9" s="90"/>
      <c r="B9" s="77" t="str">
        <f ca="1">OFFSET(L!$C$1,MATCH("Definitions"&amp;ADDRESS(ROW(),COLUMN(),4),L!$A:$A,0)-1,SL,,)</f>
        <v>DRC</v>
      </c>
      <c r="C9" s="77" t="str">
        <f ca="1">OFFSET(L!$C$1,MATCH("Definitions"&amp;ADDRESS(ROW(),COLUMN(),4),L!$A:$A,0)-1,SL,,)</f>
        <v>Democratic Republic of Congo</v>
      </c>
      <c r="D9" s="375"/>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5"/>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5"/>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5"/>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5"/>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5"/>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5"/>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5"/>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5"/>
      <c r="E19" s="132"/>
    </row>
    <row r="20" spans="1:5" ht="15">
      <c r="A20" s="90"/>
      <c r="B20" s="77" t="str">
        <f ca="1">OFFSET(L!$C$1,MATCH("Definitions"&amp;ADDRESS(ROW(),COLUMN(),4),L!$A:$A,0)-1,SL,,)</f>
        <v>RBA</v>
      </c>
      <c r="C20" s="77" t="str">
        <f ca="1">OFFSET(L!$C$1,MATCH("Definitions"&amp;ADDRESS(ROW(),COLUMN(),4),L!$A:$A,0)-1,SL,,)</f>
        <v>Responsible Business Alliance (www.responsiblebusiness.org)</v>
      </c>
      <c r="D20" s="37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5"/>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5"/>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5"/>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5"/>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5"/>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5"/>
      <c r="E30" s="132"/>
    </row>
    <row r="31" spans="1:5" ht="15">
      <c r="A31" s="90"/>
      <c r="B31" s="374" t="str">
        <f ca="1">OFFSET(L!$C$1,MATCH("General"&amp;"Cpy",L!$A:$A,0)-1,SL,,)</f>
        <v>© 2019 Responsible Minerals Initiative. All rights reserved.</v>
      </c>
      <c r="C31" s="374"/>
      <c r="D31" s="375"/>
      <c r="E31" s="132"/>
    </row>
    <row r="32" spans="1:5" ht="13.5" thickBot="1">
      <c r="A32" s="91"/>
      <c r="B32" s="187"/>
      <c r="C32" s="187"/>
      <c r="D32" s="376"/>
    </row>
    <row r="33" ht="13.5" thickTop="1"/>
  </sheetData>
  <sheetProtection password="E31B" sheet="1" objects="1" scenarios="1" formatColumns="0" formatRows="0" insertHyperlink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topLeftCell="A4" zoomScaleNormal="100" zoomScalePageLayoutView="70" workbookViewId="0">
      <selection activeCell="H23" sqref="H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08"/>
      <c r="B1" s="409"/>
      <c r="C1" s="409"/>
      <c r="D1" s="409"/>
      <c r="E1" s="409"/>
      <c r="F1" s="409"/>
      <c r="G1" s="409"/>
      <c r="H1" s="409"/>
      <c r="I1" s="409"/>
      <c r="J1" s="409"/>
      <c r="K1" s="410"/>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11" t="str">
        <f ca="1">OFFSET(L!$C$1,MATCH("Declaration"&amp;ADDRESS(ROW(),COLUMN(),4),L!$A:$A,0)-1,SL,,)</f>
        <v>Conflict Minerals Reporting Template (CMRT)</v>
      </c>
      <c r="E2" s="412"/>
      <c r="F2" s="412"/>
      <c r="G2" s="412"/>
      <c r="H2" s="412"/>
      <c r="I2" s="412"/>
      <c r="J2" s="413"/>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21"/>
      <c r="G3" s="421"/>
      <c r="H3" s="421"/>
      <c r="I3" s="186"/>
      <c r="J3" s="172" t="s">
        <v>15472</v>
      </c>
      <c r="K3" s="47"/>
      <c r="L3" s="143"/>
      <c r="M3" s="134"/>
      <c r="N3" s="134"/>
      <c r="O3" s="135"/>
      <c r="P3" s="148">
        <f>MATCH($D$3,LN,0)</f>
        <v>1</v>
      </c>
    </row>
    <row r="4" spans="1:34" ht="15.75">
      <c r="A4" s="45"/>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26" t="str">
        <f ca="1">OFFSET(L!$C$1,MATCH("Declaration"&amp;ADDRESS(ROW(),COLUMN(),4),L!$A:$A,0)-1,SL,,)</f>
        <v>Company Information</v>
      </c>
      <c r="C7" s="426"/>
      <c r="D7" s="426"/>
      <c r="E7" s="426"/>
      <c r="F7" s="426"/>
      <c r="G7" s="426"/>
      <c r="H7" s="426"/>
      <c r="I7" s="426"/>
      <c r="J7" s="426"/>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14" t="s">
        <v>15503</v>
      </c>
      <c r="E8" s="415"/>
      <c r="F8" s="415"/>
      <c r="G8" s="415"/>
      <c r="H8" s="415"/>
      <c r="I8" s="415"/>
      <c r="J8" s="416"/>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23" t="s">
        <v>564</v>
      </c>
      <c r="E9" s="424"/>
      <c r="F9" s="424"/>
      <c r="G9" s="425"/>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27" t="str">
        <f ca="1">OFFSET(L!$C$1,MATCH("Declaration"&amp;ADDRESS(ROW(),COLUMN(),4)&amp;LEFT($D$9,1),L!$A:$A,0)-1,SL,,)</f>
        <v>Description of Scope:</v>
      </c>
      <c r="C10" s="155"/>
      <c r="D10" s="418" t="s">
        <v>15494</v>
      </c>
      <c r="E10" s="419"/>
      <c r="F10" s="419"/>
      <c r="G10" s="419"/>
      <c r="H10" s="419"/>
      <c r="I10" s="419"/>
      <c r="J10" s="420"/>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28"/>
      <c r="C11" s="155"/>
      <c r="D11" s="392" t="str">
        <f ca="1">IF(D9=Q9,OFFSET(L!$C$1,MATCH("Declaration"&amp;ADDRESS(ROW(),COLUMN(),4),L!$A:$A,0)-1,SL,,),"")</f>
        <v/>
      </c>
      <c r="E11" s="393"/>
      <c r="F11" s="393"/>
      <c r="G11" s="393"/>
      <c r="H11" s="393"/>
      <c r="I11" s="393"/>
      <c r="J11" s="394"/>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401" t="s">
        <v>15495</v>
      </c>
      <c r="E12" s="402"/>
      <c r="F12" s="402"/>
      <c r="G12" s="402"/>
      <c r="H12" s="402"/>
      <c r="I12" s="402"/>
      <c r="J12" s="403"/>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401" t="s">
        <v>15496</v>
      </c>
      <c r="E13" s="402"/>
      <c r="F13" s="402"/>
      <c r="G13" s="402"/>
      <c r="H13" s="402"/>
      <c r="I13" s="402"/>
      <c r="J13" s="403"/>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401" t="s">
        <v>15497</v>
      </c>
      <c r="E14" s="402"/>
      <c r="F14" s="402"/>
      <c r="G14" s="402"/>
      <c r="H14" s="402"/>
      <c r="I14" s="402"/>
      <c r="J14" s="403"/>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401" t="s">
        <v>15498</v>
      </c>
      <c r="E15" s="402"/>
      <c r="F15" s="402"/>
      <c r="G15" s="402"/>
      <c r="H15" s="402"/>
      <c r="I15" s="402"/>
      <c r="J15" s="403"/>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29" t="s">
        <v>15499</v>
      </c>
      <c r="E16" s="430"/>
      <c r="F16" s="430"/>
      <c r="G16" s="430"/>
      <c r="H16" s="430"/>
      <c r="I16" s="430"/>
      <c r="J16" s="431"/>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401" t="s">
        <v>15500</v>
      </c>
      <c r="E17" s="402"/>
      <c r="F17" s="402"/>
      <c r="G17" s="402"/>
      <c r="H17" s="402"/>
      <c r="I17" s="402"/>
      <c r="J17" s="403"/>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401" t="s">
        <v>15498</v>
      </c>
      <c r="E18" s="402"/>
      <c r="F18" s="402"/>
      <c r="G18" s="402"/>
      <c r="H18" s="402"/>
      <c r="I18" s="402"/>
      <c r="J18" s="403"/>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401" t="s">
        <v>15501</v>
      </c>
      <c r="E19" s="402"/>
      <c r="F19" s="402"/>
      <c r="G19" s="402"/>
      <c r="H19" s="402"/>
      <c r="I19" s="402"/>
      <c r="J19" s="403"/>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29" t="s">
        <v>15499</v>
      </c>
      <c r="E20" s="430"/>
      <c r="F20" s="430"/>
      <c r="G20" s="430"/>
      <c r="H20" s="430"/>
      <c r="I20" s="430"/>
      <c r="J20" s="431"/>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401" t="s">
        <v>15500</v>
      </c>
      <c r="E21" s="402"/>
      <c r="F21" s="402"/>
      <c r="G21" s="402"/>
      <c r="H21" s="402"/>
      <c r="I21" s="402"/>
      <c r="J21" s="403"/>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432">
        <v>43830</v>
      </c>
      <c r="E22" s="433"/>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04"/>
      <c r="E23" s="404"/>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434" t="str">
        <f ca="1">OFFSET(L!$C$1,MATCH("Declaration"&amp;ADDRESS(ROW(),COLUMN(),4),L!$A:$A,0)-1,SL,,)</f>
        <v>Answer the following questions 1 - 7 based on the declaration scope indicated above</v>
      </c>
      <c r="C24" s="434"/>
      <c r="D24" s="434"/>
      <c r="E24" s="434"/>
      <c r="F24" s="434"/>
      <c r="G24" s="434"/>
      <c r="H24" s="434"/>
      <c r="I24" s="434"/>
      <c r="J24" s="434"/>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1" t="str">
        <f ca="1">OFFSET(L!$C$1,MATCH("Declaration"&amp;ADDRESS(ROW(),COLUMN(),4),L!$A:$A,0)-1,SL,,)</f>
        <v>Answer</v>
      </c>
      <c r="E25" s="391"/>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7" t="s">
        <v>559</v>
      </c>
      <c r="E26" s="378"/>
      <c r="F26" s="15"/>
      <c r="G26" s="379"/>
      <c r="H26" s="380"/>
      <c r="I26" s="380"/>
      <c r="J26" s="381"/>
      <c r="K26" s="47"/>
      <c r="L26" s="146"/>
      <c r="M26" s="136"/>
      <c r="N26" s="134"/>
      <c r="O26" s="135"/>
      <c r="P26" s="148"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77" t="s">
        <v>559</v>
      </c>
      <c r="E27" s="378"/>
      <c r="F27" s="15"/>
      <c r="G27" s="379"/>
      <c r="H27" s="380"/>
      <c r="I27" s="380"/>
      <c r="J27" s="381"/>
      <c r="K27" s="47"/>
      <c r="L27" s="146"/>
      <c r="M27" s="134"/>
      <c r="N27" s="134"/>
      <c r="O27" s="134"/>
      <c r="P27" s="148"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77" t="s">
        <v>559</v>
      </c>
      <c r="E28" s="378"/>
      <c r="F28" s="15"/>
      <c r="G28" s="379"/>
      <c r="H28" s="380"/>
      <c r="I28" s="380"/>
      <c r="J28" s="381"/>
      <c r="K28" s="47"/>
      <c r="L28" s="146"/>
      <c r="M28" s="134"/>
      <c r="N28" s="134"/>
      <c r="O28" s="134"/>
      <c r="P28" s="148"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7" t="s">
        <v>559</v>
      </c>
      <c r="E29" s="378"/>
      <c r="F29" s="15"/>
      <c r="G29" s="379"/>
      <c r="H29" s="380"/>
      <c r="I29" s="380"/>
      <c r="J29" s="381"/>
      <c r="K29" s="47"/>
      <c r="L29" s="146"/>
      <c r="M29" s="134"/>
      <c r="N29" s="134"/>
      <c r="O29" s="134"/>
      <c r="P29" s="148"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v>
      </c>
      <c r="C31" s="13"/>
      <c r="D31" s="397" t="str">
        <f ca="1">D25</f>
        <v>Answer</v>
      </c>
      <c r="E31" s="397"/>
      <c r="F31" s="21"/>
      <c r="G31" s="55" t="str">
        <f ca="1">G25</f>
        <v>Comments</v>
      </c>
      <c r="H31" s="55"/>
      <c r="I31" s="55"/>
      <c r="J31" s="99"/>
      <c r="K31" s="47"/>
      <c r="L31" s="140" t="s">
        <v>1369</v>
      </c>
      <c r="M31" s="134"/>
      <c r="N31" s="134"/>
      <c r="O31" s="135"/>
      <c r="P31" s="56">
        <f>COUNTIF(D$26:D$29,"No")</f>
        <v>4</v>
      </c>
      <c r="Q31" s="56" t="str">
        <f>IF(P31=4,""," (*)")</f>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5"/>
      <c r="E32" s="396"/>
      <c r="F32" s="58"/>
      <c r="G32" s="379"/>
      <c r="H32" s="380"/>
      <c r="I32" s="380"/>
      <c r="J32" s="381"/>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77"/>
      <c r="E33" s="378"/>
      <c r="F33" s="58"/>
      <c r="G33" s="379"/>
      <c r="H33" s="380"/>
      <c r="I33" s="380"/>
      <c r="J33" s="381"/>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77"/>
      <c r="E34" s="378"/>
      <c r="F34" s="58"/>
      <c r="G34" s="379"/>
      <c r="H34" s="380"/>
      <c r="I34" s="380"/>
      <c r="J34" s="381"/>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7"/>
      <c r="E35" s="378"/>
      <c r="F35" s="58"/>
      <c r="G35" s="379"/>
      <c r="H35" s="380"/>
      <c r="I35" s="380"/>
      <c r="J35" s="381"/>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v>
      </c>
      <c r="C37" s="13"/>
      <c r="D37" s="397" t="str">
        <f ca="1">D25</f>
        <v>Answer</v>
      </c>
      <c r="E37" s="397"/>
      <c r="F37" s="21"/>
      <c r="G37" s="55" t="str">
        <f ca="1">G25</f>
        <v>Comments</v>
      </c>
      <c r="H37" s="400"/>
      <c r="I37" s="400"/>
      <c r="J37" s="400"/>
      <c r="K37" s="47"/>
      <c r="L37" s="140" t="s">
        <v>1369</v>
      </c>
      <c r="M37" s="134"/>
      <c r="N37" s="134"/>
      <c r="O37" s="135"/>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7"/>
      <c r="E38" s="378"/>
      <c r="F38" s="58"/>
      <c r="G38" s="379"/>
      <c r="H38" s="380"/>
      <c r="I38" s="380"/>
      <c r="J38" s="381"/>
      <c r="K38" s="47"/>
      <c r="L38" s="146"/>
      <c r="M38" s="136"/>
      <c r="N38" s="134"/>
      <c r="O38" s="135"/>
      <c r="P38" s="148"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77"/>
      <c r="E39" s="378"/>
      <c r="F39" s="58"/>
      <c r="G39" s="379"/>
      <c r="H39" s="380"/>
      <c r="I39" s="380"/>
      <c r="J39" s="381"/>
      <c r="K39" s="47"/>
      <c r="L39" s="146"/>
      <c r="M39" s="134"/>
      <c r="N39" s="134"/>
      <c r="O39" s="135"/>
      <c r="P39" s="148"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77"/>
      <c r="E40" s="378"/>
      <c r="F40" s="58"/>
      <c r="G40" s="379"/>
      <c r="H40" s="380"/>
      <c r="I40" s="380"/>
      <c r="J40" s="381"/>
      <c r="K40" s="47"/>
      <c r="L40" s="146"/>
      <c r="M40" s="134"/>
      <c r="N40" s="134"/>
      <c r="O40" s="135"/>
      <c r="P40" s="148"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7"/>
      <c r="E41" s="378"/>
      <c r="F41" s="58"/>
      <c r="G41" s="379"/>
      <c r="H41" s="380"/>
      <c r="I41" s="380"/>
      <c r="J41" s="381"/>
      <c r="K41" s="47"/>
      <c r="L41" s="146"/>
      <c r="M41" s="134"/>
      <c r="N41" s="134"/>
      <c r="O41" s="135"/>
      <c r="P41" s="148"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 xml:space="preserve">4) Does 100 percent of the 3TG (necessary to the functionality or production of your products) originate from recycled or scrap sources? </v>
      </c>
      <c r="C43" s="13"/>
      <c r="D43" s="397" t="str">
        <f ca="1">D25</f>
        <v>Answer</v>
      </c>
      <c r="E43" s="397"/>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 xml:space="preserve">Tantalum  </v>
      </c>
      <c r="C44" s="13"/>
      <c r="D44" s="377"/>
      <c r="E44" s="378"/>
      <c r="F44" s="58"/>
      <c r="G44" s="379"/>
      <c r="H44" s="380"/>
      <c r="I44" s="380"/>
      <c r="J44" s="381"/>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 xml:space="preserve">Tin  </v>
      </c>
      <c r="C45" s="13"/>
      <c r="D45" s="377"/>
      <c r="E45" s="378"/>
      <c r="F45" s="58"/>
      <c r="G45" s="379"/>
      <c r="H45" s="380"/>
      <c r="I45" s="380"/>
      <c r="J45" s="381"/>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 xml:space="preserve">Gold  </v>
      </c>
      <c r="C46" s="13"/>
      <c r="D46" s="377"/>
      <c r="E46" s="378"/>
      <c r="F46" s="58"/>
      <c r="G46" s="379"/>
      <c r="H46" s="380"/>
      <c r="I46" s="380"/>
      <c r="J46" s="381"/>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 xml:space="preserve">Tungsten  </v>
      </c>
      <c r="C47" s="13"/>
      <c r="D47" s="377"/>
      <c r="E47" s="378"/>
      <c r="F47" s="58"/>
      <c r="G47" s="379"/>
      <c r="H47" s="380"/>
      <c r="I47" s="380"/>
      <c r="J47" s="381"/>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 xml:space="preserve">5) What percentage of relevant suppliers have provided a response to your supply chain survey? </v>
      </c>
      <c r="C49" s="13"/>
      <c r="D49" s="397" t="str">
        <f ca="1">D25</f>
        <v>Answer</v>
      </c>
      <c r="E49" s="397"/>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46"/>
      <c r="D50" s="398"/>
      <c r="E50" s="399"/>
      <c r="F50" s="58"/>
      <c r="G50" s="379"/>
      <c r="H50" s="380"/>
      <c r="I50" s="380"/>
      <c r="J50" s="381"/>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46"/>
      <c r="D51" s="398"/>
      <c r="E51" s="399"/>
      <c r="F51" s="58"/>
      <c r="G51" s="379"/>
      <c r="H51" s="380"/>
      <c r="I51" s="380"/>
      <c r="J51" s="381"/>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46"/>
      <c r="D52" s="398"/>
      <c r="E52" s="399"/>
      <c r="F52" s="58"/>
      <c r="G52" s="379"/>
      <c r="H52" s="380"/>
      <c r="I52" s="380"/>
      <c r="J52" s="381"/>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46"/>
      <c r="D53" s="398"/>
      <c r="E53" s="399"/>
      <c r="F53" s="58"/>
      <c r="G53" s="379"/>
      <c r="H53" s="380"/>
      <c r="I53" s="380"/>
      <c r="J53" s="381"/>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 xml:space="preserve">6) Have you identified all of the smelters supplying the 3TG to your supply chain? </v>
      </c>
      <c r="C55" s="13"/>
      <c r="D55" s="397" t="str">
        <f ca="1">D25</f>
        <v>Answer</v>
      </c>
      <c r="E55" s="397"/>
      <c r="F55" s="21"/>
      <c r="G55" s="55" t="str">
        <f ca="1">G25</f>
        <v>Comments</v>
      </c>
      <c r="H55" s="390"/>
      <c r="I55" s="390"/>
      <c r="J55" s="390"/>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13"/>
      <c r="D56" s="395"/>
      <c r="E56" s="396"/>
      <c r="F56" s="58"/>
      <c r="G56" s="379"/>
      <c r="H56" s="380"/>
      <c r="I56" s="380"/>
      <c r="J56" s="381"/>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13"/>
      <c r="D57" s="377"/>
      <c r="E57" s="378"/>
      <c r="F57" s="58"/>
      <c r="G57" s="379"/>
      <c r="H57" s="380"/>
      <c r="I57" s="380"/>
      <c r="J57" s="381"/>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13"/>
      <c r="D58" s="377"/>
      <c r="E58" s="378"/>
      <c r="F58" s="58"/>
      <c r="G58" s="379"/>
      <c r="H58" s="380"/>
      <c r="I58" s="380"/>
      <c r="J58" s="381"/>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13"/>
      <c r="D59" s="377"/>
      <c r="E59" s="378"/>
      <c r="F59" s="58"/>
      <c r="G59" s="379"/>
      <c r="H59" s="380"/>
      <c r="I59" s="380"/>
      <c r="J59" s="381"/>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 xml:space="preserve">7) Has all applicable smelter information received by your company been reported in this declaration? </v>
      </c>
      <c r="C61" s="13"/>
      <c r="D61" s="397" t="str">
        <f ca="1">D25</f>
        <v>Answer</v>
      </c>
      <c r="E61" s="397"/>
      <c r="F61" s="21"/>
      <c r="G61" s="55" t="str">
        <f ca="1">G25</f>
        <v>Comments</v>
      </c>
      <c r="H61" s="390" t="str">
        <f>IF(Q69="(*)","Click here to enter smelter names","")</f>
        <v/>
      </c>
      <c r="I61" s="390"/>
      <c r="J61" s="390"/>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46"/>
      <c r="D62" s="377"/>
      <c r="E62" s="378"/>
      <c r="F62" s="59"/>
      <c r="G62" s="379"/>
      <c r="H62" s="380"/>
      <c r="I62" s="380"/>
      <c r="J62" s="381"/>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46"/>
      <c r="D63" s="377"/>
      <c r="E63" s="378"/>
      <c r="F63" s="59"/>
      <c r="G63" s="379"/>
      <c r="H63" s="380"/>
      <c r="I63" s="380"/>
      <c r="J63" s="381"/>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46"/>
      <c r="D64" s="377"/>
      <c r="E64" s="378"/>
      <c r="F64" s="59"/>
      <c r="G64" s="379"/>
      <c r="H64" s="380"/>
      <c r="I64" s="380"/>
      <c r="J64" s="381"/>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 xml:space="preserve">Tungsten  </v>
      </c>
      <c r="C65" s="60"/>
      <c r="D65" s="377"/>
      <c r="E65" s="378"/>
      <c r="F65" s="61"/>
      <c r="G65" s="379"/>
      <c r="H65" s="380"/>
      <c r="I65" s="380"/>
      <c r="J65" s="381"/>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382" t="str">
        <f ca="1">OFFSET(L!$C$1,MATCH("Declaration"&amp;ADDRESS(ROW(),COLUMN(),4),L!$A:$A,0)-1,SL,,)</f>
        <v>Answer the Following Questions at a Company Level</v>
      </c>
      <c r="C67" s="382"/>
      <c r="D67" s="382"/>
      <c r="E67" s="382"/>
      <c r="F67" s="382"/>
      <c r="G67" s="382"/>
      <c r="H67" s="382"/>
      <c r="I67" s="382"/>
      <c r="J67" s="382"/>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391" t="str">
        <f ca="1">D25</f>
        <v>Answer</v>
      </c>
      <c r="E68" s="391"/>
      <c r="F68" s="64"/>
      <c r="G68" s="391" t="str">
        <f ca="1">G25</f>
        <v>Comments</v>
      </c>
      <c r="H68" s="391" t="e">
        <f>HLOOKUP(SL,LT,$O68,0)</f>
        <v>#NAME?</v>
      </c>
      <c r="I68" s="391"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v>
      </c>
      <c r="C69" s="68"/>
      <c r="D69" s="377" t="s">
        <v>558</v>
      </c>
      <c r="E69" s="378"/>
      <c r="F69" s="68"/>
      <c r="G69" s="379"/>
      <c r="H69" s="380"/>
      <c r="I69" s="380"/>
      <c r="J69" s="381"/>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388"/>
      <c r="H70" s="388"/>
      <c r="I70" s="388"/>
      <c r="J70" s="388"/>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v>
      </c>
      <c r="C71" s="68"/>
      <c r="D71" s="377" t="s">
        <v>558</v>
      </c>
      <c r="E71" s="378"/>
      <c r="F71" s="68"/>
      <c r="G71" s="405" t="s">
        <v>15502</v>
      </c>
      <c r="H71" s="406"/>
      <c r="I71" s="406"/>
      <c r="J71" s="407"/>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v>
      </c>
      <c r="C73" s="68"/>
      <c r="D73" s="377" t="s">
        <v>558</v>
      </c>
      <c r="E73" s="378"/>
      <c r="F73" s="68"/>
      <c r="G73" s="379" t="s">
        <v>15504</v>
      </c>
      <c r="H73" s="380"/>
      <c r="I73" s="380"/>
      <c r="J73" s="381"/>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v>
      </c>
      <c r="C75" s="68"/>
      <c r="D75" s="377" t="s">
        <v>558</v>
      </c>
      <c r="E75" s="378"/>
      <c r="F75" s="68"/>
      <c r="G75" s="379"/>
      <c r="H75" s="380"/>
      <c r="I75" s="380"/>
      <c r="J75" s="381"/>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v>
      </c>
      <c r="C77" s="68"/>
      <c r="D77" s="377" t="s">
        <v>558</v>
      </c>
      <c r="E77" s="378"/>
      <c r="F77" s="68"/>
      <c r="G77" s="379" t="s">
        <v>15505</v>
      </c>
      <c r="H77" s="380"/>
      <c r="I77" s="380"/>
      <c r="J77" s="381"/>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v>
      </c>
      <c r="C79" s="68"/>
      <c r="D79" s="386" t="s">
        <v>13311</v>
      </c>
      <c r="E79" s="387"/>
      <c r="F79" s="68"/>
      <c r="G79" s="379"/>
      <c r="H79" s="380"/>
      <c r="I79" s="380"/>
      <c r="J79" s="381"/>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388"/>
      <c r="H80" s="388"/>
      <c r="I80" s="388"/>
      <c r="J80" s="388"/>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v>
      </c>
      <c r="C81" s="68"/>
      <c r="D81" s="377" t="s">
        <v>558</v>
      </c>
      <c r="E81" s="378"/>
      <c r="F81" s="68"/>
      <c r="G81" s="379"/>
      <c r="H81" s="380"/>
      <c r="I81" s="380"/>
      <c r="J81" s="381"/>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389"/>
      <c r="H82" s="389"/>
      <c r="I82" s="389"/>
      <c r="J82" s="389"/>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v>
      </c>
      <c r="C83" s="68"/>
      <c r="D83" s="377" t="s">
        <v>558</v>
      </c>
      <c r="E83" s="378"/>
      <c r="F83" s="68"/>
      <c r="G83" s="379"/>
      <c r="H83" s="380"/>
      <c r="I83" s="380"/>
      <c r="J83" s="381"/>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v>
      </c>
      <c r="C85" s="68"/>
      <c r="D85" s="377" t="s">
        <v>558</v>
      </c>
      <c r="E85" s="378"/>
      <c r="F85" s="68"/>
      <c r="G85" s="379"/>
      <c r="H85" s="380"/>
      <c r="I85" s="380"/>
      <c r="J85" s="381"/>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385" t="str">
        <f>IF(OR($D$8="",$I$3=""),"","Click here to check required fields completion")</f>
        <v/>
      </c>
      <c r="C86" s="385"/>
      <c r="D86" s="385"/>
      <c r="E86" s="385"/>
      <c r="F86" s="385"/>
      <c r="G86" s="385"/>
      <c r="H86" s="385"/>
      <c r="I86" s="385"/>
      <c r="J86" s="385"/>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383" t="str">
        <f ca="1">OFFSET(L!$C$1,MATCH("General"&amp;"Cpy",L!$A:$A,0)-1,SL,,)</f>
        <v>© 2019 Responsible Minerals Initiative. All rights reserved.</v>
      </c>
      <c r="B87" s="384"/>
      <c r="C87" s="384"/>
      <c r="D87" s="384"/>
      <c r="E87" s="384"/>
      <c r="F87" s="384"/>
      <c r="G87" s="384"/>
      <c r="H87" s="384"/>
      <c r="I87" s="384"/>
      <c r="J87" s="384"/>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80" priority="51" stopIfTrue="1">
      <formula>AND(OR($D$26="No",AND($D$26="Yes",$D$32="No")),OR($D$27="No",AND($D$27="Yes",$D$33="No")), OR($D$28="No",AND($D$28="Yes",$D$34="No")), OR($D$29="No",AND($D$29="Yes",$D$35="No")))</formula>
    </cfRule>
    <cfRule type="expression" dxfId="79" priority="52" stopIfTrue="1">
      <formula>IF(D69="",TRUE)</formula>
    </cfRule>
  </conditionalFormatting>
  <conditionalFormatting sqref="G71:J71">
    <cfRule type="expression" dxfId="78" priority="23" stopIfTrue="1">
      <formula>IF(AND($D$71="Yes",$G$71=""),TRUE)</formula>
    </cfRule>
  </conditionalFormatting>
  <conditionalFormatting sqref="D26:E26">
    <cfRule type="expression" dxfId="77" priority="103" stopIfTrue="1">
      <formula>IF($D$26="",TRUE)</formula>
    </cfRule>
  </conditionalFormatting>
  <conditionalFormatting sqref="D27:E27">
    <cfRule type="expression" dxfId="76" priority="110" stopIfTrue="1">
      <formula>IF($D$27="",TRUE)</formula>
    </cfRule>
  </conditionalFormatting>
  <conditionalFormatting sqref="D28:E28">
    <cfRule type="expression" dxfId="75" priority="111" stopIfTrue="1">
      <formula>IF($D$28="",TRUE)</formula>
    </cfRule>
  </conditionalFormatting>
  <conditionalFormatting sqref="D29:E29">
    <cfRule type="expression" dxfId="74" priority="112" stopIfTrue="1">
      <formula>IF($D$29="",TRUE)</formula>
    </cfRule>
  </conditionalFormatting>
  <conditionalFormatting sqref="D8:J8">
    <cfRule type="expression" dxfId="73" priority="117" stopIfTrue="1">
      <formula>IF($D$8="",TRUE)</formula>
    </cfRule>
  </conditionalFormatting>
  <conditionalFormatting sqref="D9:G9">
    <cfRule type="expression" dxfId="72" priority="118" stopIfTrue="1">
      <formula>IF($D$9="",TRUE)</formula>
    </cfRule>
  </conditionalFormatting>
  <conditionalFormatting sqref="D15:J15">
    <cfRule type="expression" dxfId="71" priority="119" stopIfTrue="1">
      <formula>IF($D$15="",TRUE)</formula>
    </cfRule>
  </conditionalFormatting>
  <conditionalFormatting sqref="D16:J16">
    <cfRule type="expression" dxfId="70" priority="120" stopIfTrue="1">
      <formula>IF($D$16="",TRUE)</formula>
    </cfRule>
  </conditionalFormatting>
  <conditionalFormatting sqref="D17:J17">
    <cfRule type="expression" dxfId="69" priority="121" stopIfTrue="1">
      <formula>IF($D$17="",TRUE)</formula>
    </cfRule>
  </conditionalFormatting>
  <conditionalFormatting sqref="D18:J18">
    <cfRule type="expression" dxfId="68" priority="122" stopIfTrue="1">
      <formula>IF($D$18="",TRUE)</formula>
    </cfRule>
  </conditionalFormatting>
  <conditionalFormatting sqref="D22:E22">
    <cfRule type="expression" dxfId="67" priority="125" stopIfTrue="1">
      <formula>IF($D$22="",TRUE)</formula>
    </cfRule>
  </conditionalFormatting>
  <conditionalFormatting sqref="D10:J10">
    <cfRule type="expression" dxfId="66" priority="22" stopIfTrue="1">
      <formula>IF($D$9=$Q$9,TRUE)</formula>
    </cfRule>
    <cfRule type="expression" dxfId="65" priority="132" stopIfTrue="1">
      <formula>IF(AND($D$10="",$D$9=$R$9),TRUE)</formula>
    </cfRule>
  </conditionalFormatting>
  <conditionalFormatting sqref="D34:E34 D40:E40 D46:E46 D52:E52 D58:E58 D64:E64">
    <cfRule type="expression" dxfId="64" priority="15" stopIfTrue="1">
      <formula>$P$28=""</formula>
    </cfRule>
  </conditionalFormatting>
  <conditionalFormatting sqref="D35:E35 D41:E41 D47:E47 D53:E53 D59:E59 D65:E65">
    <cfRule type="expression" dxfId="63" priority="130" stopIfTrue="1">
      <formula>$P$29=""</formula>
    </cfRule>
  </conditionalFormatting>
  <conditionalFormatting sqref="D32:E32">
    <cfRule type="expression" dxfId="62" priority="108" stopIfTrue="1">
      <formula>$P$26=""</formula>
    </cfRule>
  </conditionalFormatting>
  <conditionalFormatting sqref="D32:E32">
    <cfRule type="expression" dxfId="61" priority="21" stopIfTrue="1">
      <formula>IF(AND(OR($D$26="Yes",$D$26=""),$D$32=""),1,0)</formula>
    </cfRule>
  </conditionalFormatting>
  <conditionalFormatting sqref="D38 D44 D50 D56 D62">
    <cfRule type="expression" dxfId="60" priority="17" stopIfTrue="1">
      <formula>$P$32=""</formula>
    </cfRule>
  </conditionalFormatting>
  <conditionalFormatting sqref="D39:E39 D45 D51 D57 D63">
    <cfRule type="expression" dxfId="59" priority="16" stopIfTrue="1">
      <formula>$P$33=""</formula>
    </cfRule>
  </conditionalFormatting>
  <conditionalFormatting sqref="D40 D46 D52 D58 D64">
    <cfRule type="expression" dxfId="58" priority="6" stopIfTrue="1">
      <formula>$P$34=""</formula>
    </cfRule>
    <cfRule type="expression" dxfId="57" priority="128" stopIfTrue="1">
      <formula>IF(AND(OR($D$28="Yes",$D$28=""),D40=""),1,0)</formula>
    </cfRule>
  </conditionalFormatting>
  <conditionalFormatting sqref="D41 D47 D53 D59 D65">
    <cfRule type="expression" dxfId="56" priority="14" stopIfTrue="1">
      <formula>$P$35=""</formula>
    </cfRule>
  </conditionalFormatting>
  <conditionalFormatting sqref="D38:E38 D44:E44 D50:E50 D56:E56 D62:E62">
    <cfRule type="expression" dxfId="55" priority="19" stopIfTrue="1">
      <formula>$P$26=""</formula>
    </cfRule>
    <cfRule type="expression" dxfId="54" priority="20" stopIfTrue="1">
      <formula>IF(AND(OR($D$26="Yes",$D$26=""),D38=""),1,0)</formula>
    </cfRule>
  </conditionalFormatting>
  <conditionalFormatting sqref="G79:J79">
    <cfRule type="expression" dxfId="53" priority="13" stopIfTrue="1">
      <formula>IF(AND($D$79="Yes, using other format (describe)",$G$79=""),TRUE)</formula>
    </cfRule>
  </conditionalFormatting>
  <conditionalFormatting sqref="D39:E39 D45:E45 D51:E51 D57:E57 D63:E63">
    <cfRule type="expression" dxfId="52" priority="126" stopIfTrue="1">
      <formula>$P$39=""</formula>
    </cfRule>
    <cfRule type="expression" dxfId="51" priority="127" stopIfTrue="1">
      <formula>IF(AND(OR($D$27="Yes",$D$27=""),D39=""),1,0)</formula>
    </cfRule>
  </conditionalFormatting>
  <conditionalFormatting sqref="D33:E33">
    <cfRule type="expression" dxfId="50" priority="8" stopIfTrue="1">
      <formula>IF(AND(OR($D$27="Yes",$D$27=""),$D$33=""),1,0)</formula>
    </cfRule>
    <cfRule type="expression" dxfId="49" priority="9" stopIfTrue="1">
      <formula>$P$27=""</formula>
    </cfRule>
  </conditionalFormatting>
  <conditionalFormatting sqref="D34:E34">
    <cfRule type="expression" dxfId="48" priority="129" stopIfTrue="1">
      <formula>IF(AND(OR($D$28="Yes",$D$28=""),$D$34=""),1,0)</formula>
    </cfRule>
  </conditionalFormatting>
  <conditionalFormatting sqref="D41:E41 D47:E47 D53:E53 D59:E59 D65:E65">
    <cfRule type="expression" dxfId="47" priority="131" stopIfTrue="1">
      <formula>IF(AND(OR($D$29="Yes",$D$29=""),D41=""),1,0)</formula>
    </cfRule>
  </conditionalFormatting>
  <conditionalFormatting sqref="D35:E35">
    <cfRule type="expression" dxfId="46" priority="5" stopIfTrue="1">
      <formula>IF(AND(OR($D$29="Yes",$D$29=""),$D$35=""),1,0)</formula>
    </cfRule>
  </conditionalFormatting>
  <conditionalFormatting sqref="D20:J20">
    <cfRule type="expression" dxfId="45" priority="1" stopIfTrue="1">
      <formula>IF($D$20="",TRUE)</formula>
    </cfRule>
  </conditionalFormatting>
  <conditionalFormatting sqref="D21:J21">
    <cfRule type="expression" dxfId="44"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7"/>
  <sheetViews>
    <sheetView showGridLines="0" showZeros="0" topLeftCell="A4" zoomScaleNormal="100" zoomScalePageLayoutView="55" workbookViewId="0">
      <selection activeCell="C18" sqref="C18"/>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5" t="str">
        <f ca="1">OFFSET(L!$C$1,MATCH("Smelter List"&amp;ADDRESS(ROW(),COLUMN(),4),L!$A:$A,0)-1,SL,,)</f>
        <v>Link to "RMAP Conformant Smelter List"</v>
      </c>
      <c r="K2" s="436"/>
      <c r="L2" s="436"/>
      <c r="M2" s="436"/>
      <c r="N2" s="436"/>
      <c r="O2" s="436"/>
      <c r="P2" s="232"/>
      <c r="Q2" s="233"/>
      <c r="R2" s="234"/>
      <c r="S2" s="234"/>
      <c r="T2" s="234"/>
      <c r="U2" s="261"/>
      <c r="V2" s="261"/>
      <c r="W2" s="262"/>
      <c r="X2" s="261"/>
      <c r="Y2" s="261"/>
      <c r="Z2" s="261"/>
      <c r="AH2" s="178" t="s">
        <v>558</v>
      </c>
    </row>
    <row r="3" spans="1:34" s="263" customFormat="1" ht="255.6" customHeight="1">
      <c r="A3" s="204"/>
      <c r="B3" s="4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7"/>
      <c r="D3" s="437"/>
      <c r="E3" s="437"/>
      <c r="F3" s="264"/>
      <c r="G3" s="438" t="str">
        <f ca="1">OFFSET(L!$C$1,MATCH("General"&amp;"Cpy",L!$A:$A,0)-1,SL,,)</f>
        <v>© 2019 Responsible Minerals Initiative. All rights reserved.</v>
      </c>
      <c r="H3" s="438"/>
      <c r="I3" s="439"/>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0.100000000000001" customHeight="1">
      <c r="A5" s="215"/>
      <c r="B5" s="216" t="str">
        <f>IF(LEN(A5)=0,"",INDEX('Smelter Look-up'!$A:$A,MATCH($A5,'Smelter Look-up'!$E:$E,0)))</f>
        <v/>
      </c>
      <c r="C5" s="220" t="str">
        <f>IF(LEN(A5)=0,"",INDEX('Smelter Look-up'!$C:$C,MATCH($A5,'Smelter Look-up'!$E:$E,0)))</f>
        <v/>
      </c>
      <c r="D5" s="216"/>
      <c r="E5" s="216" t="str">
        <f ca="1">IF(ISERROR($V5),"",OFFSET('Smelter Look-up'!$D$4,$V5-4,0)&amp;"")</f>
        <v/>
      </c>
      <c r="F5" s="216" t="str">
        <f ca="1">IF(ISERROR($V5),"",OFFSET('Smelter Look-up'!$E$4,$V5-4,0))</f>
        <v/>
      </c>
      <c r="G5" s="216" t="str">
        <f ca="1">IF(C5=$X$4,"Enter smelter details", IF(ISERROR($V5),"",OFFSET('Smelter Look-up'!$F$4,$V5-4,0)))</f>
        <v/>
      </c>
      <c r="H5" s="217" t="str">
        <f ca="1">IF(ISERROR($V5),"",OFFSET('Smelter Look-up'!$G$4,$V5-4,0))</f>
        <v/>
      </c>
      <c r="I5" s="218" t="str">
        <f ca="1">IF(ISERROR($V5),"",OFFSET('Smelter Look-up'!$H$4,$V5-4,0))</f>
        <v/>
      </c>
      <c r="J5" s="218" t="str">
        <f ca="1">IF(ISERROR($V5),"",OFFSET('Smelter Look-up'!$I$4,$V5-4,0))</f>
        <v/>
      </c>
      <c r="K5" s="267"/>
      <c r="L5" s="267"/>
      <c r="M5" s="267"/>
      <c r="N5" s="267"/>
      <c r="O5" s="267"/>
      <c r="P5" s="219"/>
      <c r="Q5" s="268"/>
      <c r="R5" s="216" t="str">
        <f ca="1">IF(ISERROR($V5),"",OFFSET('Smelter Look-up'!$C$4,$V5-4,0)&amp;"")</f>
        <v/>
      </c>
      <c r="S5" s="224" t="str">
        <f t="shared" ref="S5:S68" ca="1" si="0">IF(B5="","",IF(ISERROR(MATCH($E5,CL,0)),"Unknown",INDIRECT("'C'!$A$"&amp;MATCH($E5,CL,0)+1)))</f>
        <v/>
      </c>
      <c r="T5" s="224" t="str">
        <f ca="1">IF(B5="","",IF(ISERROR(MATCH($J5,SorP!$B$1:$B$6230,0)),"",INDIRECT("'SorP'!$A$"&amp;MATCH($J5,SorP!$B$1:$B$6230,0))))</f>
        <v/>
      </c>
      <c r="U5" s="239"/>
      <c r="V5" s="269" t="e">
        <f>IF(C5="",NA(),MATCH($B5&amp;$C5,'Smelter Look-up'!$J:$J,0))</f>
        <v>#N/A</v>
      </c>
      <c r="W5" s="270"/>
      <c r="X5" s="270">
        <f t="shared" ref="X5:X68" ca="1" si="1">IF(AND(C5="Smelter not listed",OR(LEN(D5)=0,LEN(E5)=0)),1,0)</f>
        <v>0</v>
      </c>
      <c r="Y5" s="270"/>
      <c r="Z5" s="270"/>
      <c r="AB5" s="272" t="str">
        <f t="shared" ref="AB5:AB68" si="2">B5&amp;C5</f>
        <v/>
      </c>
    </row>
    <row r="6" spans="1:34" s="271" customFormat="1" ht="20.100000000000001" customHeight="1">
      <c r="A6" s="215"/>
      <c r="B6" s="216" t="str">
        <f>IF(LEN(A6)=0,"",INDEX('Smelter Look-up'!$A:$A,MATCH($A6,'Smelter Look-up'!$E:$E,0)))</f>
        <v/>
      </c>
      <c r="C6" s="220" t="str">
        <f>IF(LEN(A6)=0,"",INDEX('Smelter Look-up'!$C:$C,MATCH($A6,'Smelter Look-up'!$E:$E,0)))</f>
        <v/>
      </c>
      <c r="D6" s="216"/>
      <c r="E6" s="216" t="str">
        <f ca="1">IF(ISERROR($V6),"",OFFSET('Smelter Look-up'!$D$4,$V6-4,0)&amp;"")</f>
        <v/>
      </c>
      <c r="F6" s="216" t="str">
        <f ca="1">IF(ISERROR($V6),"",OFFSET('Smelter Look-up'!$E$4,$V6-4,0))</f>
        <v/>
      </c>
      <c r="G6" s="216" t="str">
        <f ca="1">IF(C6=$X$4,"Enter smelter details", IF(ISERROR($V6),"",OFFSET('Smelter Look-up'!$F$4,$V6-4,0)))</f>
        <v/>
      </c>
      <c r="H6" s="217" t="str">
        <f ca="1">IF(ISERROR($V6),"",OFFSET('Smelter Look-up'!$G$4,$V6-4,0))</f>
        <v/>
      </c>
      <c r="I6" s="218" t="str">
        <f ca="1">IF(ISERROR($V6),"",OFFSET('Smelter Look-up'!$H$4,$V6-4,0))</f>
        <v/>
      </c>
      <c r="J6" s="218" t="str">
        <f ca="1">IF(ISERROR($V6),"",OFFSET('Smelter Look-up'!$I$4,$V6-4,0))</f>
        <v/>
      </c>
      <c r="K6" s="267"/>
      <c r="L6" s="267"/>
      <c r="M6" s="267"/>
      <c r="N6" s="267"/>
      <c r="O6" s="267"/>
      <c r="P6" s="219"/>
      <c r="Q6" s="268"/>
      <c r="R6" s="216" t="str">
        <f ca="1">IF(ISERROR($V6),"",OFFSET('Smelter Look-up'!$C$4,$V6-4,0)&amp;"")</f>
        <v/>
      </c>
      <c r="S6" s="224" t="str">
        <f t="shared" ca="1" si="0"/>
        <v/>
      </c>
      <c r="T6" s="224" t="str">
        <f ca="1">IF(B6="","",IF(ISERROR(MATCH($J6,SorP!$B$1:$B$6230,0)),"",INDIRECT("'SorP'!$A$"&amp;MATCH($J6,SorP!$B$1:$B$6230,0))))</f>
        <v/>
      </c>
      <c r="U6" s="239"/>
      <c r="V6" s="269" t="e">
        <f>IF(C6="",NA(),MATCH($B6&amp;$C6,'Smelter Look-up'!$J:$J,0))</f>
        <v>#N/A</v>
      </c>
      <c r="W6" s="270"/>
      <c r="X6" s="270">
        <f t="shared" ca="1" si="1"/>
        <v>0</v>
      </c>
      <c r="Y6" s="270"/>
      <c r="Z6" s="270"/>
      <c r="AB6" s="272" t="str">
        <f t="shared" si="2"/>
        <v/>
      </c>
    </row>
    <row r="7" spans="1:34" s="271" customFormat="1" ht="20.100000000000001" customHeight="1">
      <c r="A7" s="215"/>
      <c r="B7" s="216" t="str">
        <f>IF(LEN(A7)=0,"",INDEX('Smelter Look-up'!$A:$A,MATCH($A7,'Smelter Look-up'!$E:$E,0)))</f>
        <v/>
      </c>
      <c r="C7" s="220" t="str">
        <f>IF(LEN(A7)=0,"",INDEX('Smelter Look-up'!$C:$C,MATCH($A7,'Smelter Look-up'!$E:$E,0)))</f>
        <v/>
      </c>
      <c r="D7" s="216"/>
      <c r="E7" s="216" t="str">
        <f ca="1">IF(ISERROR($V7),"",OFFSET('Smelter Look-up'!$D$4,$V7-4,0)&amp;"")</f>
        <v/>
      </c>
      <c r="F7" s="216" t="str">
        <f ca="1">IF(ISERROR($V7),"",OFFSET('Smelter Look-up'!$E$4,$V7-4,0))</f>
        <v/>
      </c>
      <c r="G7" s="216" t="str">
        <f ca="1">IF(C7=$X$4,"Enter smelter details", IF(ISERROR($V7),"",OFFSET('Smelter Look-up'!$F$4,$V7-4,0)))</f>
        <v/>
      </c>
      <c r="H7" s="217" t="str">
        <f ca="1">IF(ISERROR($V7),"",OFFSET('Smelter Look-up'!$G$4,$V7-4,0))</f>
        <v/>
      </c>
      <c r="I7" s="218" t="str">
        <f ca="1">IF(ISERROR($V7),"",OFFSET('Smelter Look-up'!$H$4,$V7-4,0))</f>
        <v/>
      </c>
      <c r="J7" s="218" t="str">
        <f ca="1">IF(ISERROR($V7),"",OFFSET('Smelter Look-up'!$I$4,$V7-4,0))</f>
        <v/>
      </c>
      <c r="K7" s="267"/>
      <c r="L7" s="267"/>
      <c r="M7" s="267"/>
      <c r="N7" s="267"/>
      <c r="O7" s="267"/>
      <c r="P7" s="219"/>
      <c r="Q7" s="268"/>
      <c r="R7" s="216" t="str">
        <f ca="1">IF(ISERROR($V7),"",OFFSET('Smelter Look-up'!$C$4,$V7-4,0)&amp;"")</f>
        <v/>
      </c>
      <c r="S7" s="224" t="str">
        <f t="shared" ca="1" si="0"/>
        <v/>
      </c>
      <c r="T7" s="224" t="str">
        <f ca="1">IF(B7="","",IF(ISERROR(MATCH($J7,SorP!$B$1:$B$6230,0)),"",INDIRECT("'SorP'!$A$"&amp;MATCH($J7,SorP!$B$1:$B$6230,0))))</f>
        <v/>
      </c>
      <c r="U7" s="239"/>
      <c r="V7" s="269" t="e">
        <f>IF(C7="",NA(),MATCH($B7&amp;$C7,'Smelter Look-up'!$J:$J,0))</f>
        <v>#N/A</v>
      </c>
      <c r="W7" s="270"/>
      <c r="X7" s="270">
        <f t="shared" ca="1" si="1"/>
        <v>0</v>
      </c>
      <c r="Y7" s="270"/>
      <c r="Z7" s="270"/>
      <c r="AB7" s="272" t="str">
        <f t="shared" si="2"/>
        <v/>
      </c>
    </row>
    <row r="8" spans="1:34" s="271" customFormat="1" ht="20.100000000000001" customHeight="1">
      <c r="A8" s="215"/>
      <c r="B8" s="216" t="str">
        <f>IF(LEN(A8)=0,"",INDEX('Smelter Look-up'!$A:$A,MATCH($A8,'Smelter Look-up'!$E:$E,0)))</f>
        <v/>
      </c>
      <c r="C8" s="220" t="str">
        <f>IF(LEN(A8)=0,"",INDEX('Smelter Look-up'!$C:$C,MATCH($A8,'Smelter Look-up'!$E:$E,0)))</f>
        <v/>
      </c>
      <c r="D8" s="216"/>
      <c r="E8" s="216" t="str">
        <f ca="1">IF(ISERROR($V8),"",OFFSET('Smelter Look-up'!$D$4,$V8-4,0)&amp;"")</f>
        <v/>
      </c>
      <c r="F8" s="216" t="str">
        <f ca="1">IF(ISERROR($V8),"",OFFSET('Smelter Look-up'!$E$4,$V8-4,0))</f>
        <v/>
      </c>
      <c r="G8" s="216" t="str">
        <f ca="1">IF(C8=$X$4,"Enter smelter details", IF(ISERROR($V8),"",OFFSET('Smelter Look-up'!$F$4,$V8-4,0)))</f>
        <v/>
      </c>
      <c r="H8" s="217" t="str">
        <f ca="1">IF(ISERROR($V8),"",OFFSET('Smelter Look-up'!$G$4,$V8-4,0))</f>
        <v/>
      </c>
      <c r="I8" s="218" t="str">
        <f ca="1">IF(ISERROR($V8),"",OFFSET('Smelter Look-up'!$H$4,$V8-4,0))</f>
        <v/>
      </c>
      <c r="J8" s="218" t="str">
        <f ca="1">IF(ISERROR($V8),"",OFFSET('Smelter Look-up'!$I$4,$V8-4,0))</f>
        <v/>
      </c>
      <c r="K8" s="267"/>
      <c r="L8" s="267"/>
      <c r="M8" s="267"/>
      <c r="N8" s="267"/>
      <c r="O8" s="267"/>
      <c r="P8" s="219"/>
      <c r="Q8" s="268"/>
      <c r="R8" s="216" t="str">
        <f ca="1">IF(ISERROR($V8),"",OFFSET('Smelter Look-up'!$C$4,$V8-4,0)&amp;"")</f>
        <v/>
      </c>
      <c r="S8" s="224" t="str">
        <f t="shared" ca="1" si="0"/>
        <v/>
      </c>
      <c r="T8" s="224" t="str">
        <f ca="1">IF(B8="","",IF(ISERROR(MATCH($J8,SorP!$B$1:$B$6230,0)),"",INDIRECT("'SorP'!$A$"&amp;MATCH($J8,SorP!$B$1:$B$6230,0))))</f>
        <v/>
      </c>
      <c r="U8" s="239"/>
      <c r="V8" s="269" t="e">
        <f>IF(C8="",NA(),MATCH($B8&amp;$C8,'Smelter Look-up'!$J:$J,0))</f>
        <v>#N/A</v>
      </c>
      <c r="W8" s="270"/>
      <c r="X8" s="270">
        <f t="shared" ca="1" si="1"/>
        <v>0</v>
      </c>
      <c r="Y8" s="270"/>
      <c r="Z8" s="270"/>
      <c r="AB8" s="272" t="str">
        <f t="shared" si="2"/>
        <v/>
      </c>
    </row>
    <row r="9" spans="1:34" s="271" customFormat="1" ht="20.100000000000001" customHeight="1">
      <c r="A9" s="215"/>
      <c r="B9" s="216" t="str">
        <f>IF(LEN(A9)=0,"",INDEX('Smelter Look-up'!$A:$A,MATCH($A9,'Smelter Look-up'!$E:$E,0)))</f>
        <v/>
      </c>
      <c r="C9" s="220" t="str">
        <f>IF(LEN(A9)=0,"",INDEX('Smelter Look-up'!$C:$C,MATCH($A9,'Smelter Look-up'!$E:$E,0)))</f>
        <v/>
      </c>
      <c r="D9" s="216"/>
      <c r="E9" s="216" t="str">
        <f ca="1">IF(ISERROR($V9),"",OFFSET('Smelter Look-up'!$D$4,$V9-4,0)&amp;"")</f>
        <v/>
      </c>
      <c r="F9" s="216" t="str">
        <f ca="1">IF(ISERROR($V9),"",OFFSET('Smelter Look-up'!$E$4,$V9-4,0))</f>
        <v/>
      </c>
      <c r="G9" s="216" t="str">
        <f ca="1">IF(C9=$X$4,"Enter smelter details", IF(ISERROR($V9),"",OFFSET('Smelter Look-up'!$F$4,$V9-4,0)))</f>
        <v/>
      </c>
      <c r="H9" s="217" t="str">
        <f ca="1">IF(ISERROR($V9),"",OFFSET('Smelter Look-up'!$G$4,$V9-4,0))</f>
        <v/>
      </c>
      <c r="I9" s="218" t="str">
        <f ca="1">IF(ISERROR($V9),"",OFFSET('Smelter Look-up'!$H$4,$V9-4,0))</f>
        <v/>
      </c>
      <c r="J9" s="218" t="str">
        <f ca="1">IF(ISERROR($V9),"",OFFSET('Smelter Look-up'!$I$4,$V9-4,0))</f>
        <v/>
      </c>
      <c r="K9" s="267"/>
      <c r="L9" s="267"/>
      <c r="M9" s="267"/>
      <c r="N9" s="267"/>
      <c r="O9" s="267"/>
      <c r="P9" s="219"/>
      <c r="Q9" s="268"/>
      <c r="R9" s="216" t="str">
        <f ca="1">IF(ISERROR($V9),"",OFFSET('Smelter Look-up'!$C$4,$V9-4,0)&amp;"")</f>
        <v/>
      </c>
      <c r="S9" s="224" t="str">
        <f t="shared" ca="1" si="0"/>
        <v/>
      </c>
      <c r="T9" s="224" t="str">
        <f ca="1">IF(B9="","",IF(ISERROR(MATCH($J9,SorP!$B$1:$B$6230,0)),"",INDIRECT("'SorP'!$A$"&amp;MATCH($J9,SorP!$B$1:$B$6230,0))))</f>
        <v/>
      </c>
      <c r="U9" s="239"/>
      <c r="V9" s="269" t="e">
        <f>IF(C9="",NA(),MATCH($B9&amp;$C9,'Smelter Look-up'!$J:$J,0))</f>
        <v>#N/A</v>
      </c>
      <c r="W9" s="270"/>
      <c r="X9" s="270">
        <f t="shared" ca="1" si="1"/>
        <v>0</v>
      </c>
      <c r="Y9" s="270"/>
      <c r="Z9" s="270"/>
      <c r="AB9" s="272" t="str">
        <f t="shared" si="2"/>
        <v/>
      </c>
    </row>
    <row r="10" spans="1:34" s="271" customFormat="1" ht="20.100000000000001" customHeight="1">
      <c r="A10" s="215"/>
      <c r="B10" s="216" t="str">
        <f>IF(LEN(A10)=0,"",INDEX('Smelter Look-up'!$A:$A,MATCH($A10,'Smelter Look-up'!$E:$E,0)))</f>
        <v/>
      </c>
      <c r="C10" s="220" t="str">
        <f>IF(LEN(A10)=0,"",INDEX('Smelter Look-up'!$C:$C,MATCH($A10,'Smelter Look-up'!$E:$E,0)))</f>
        <v/>
      </c>
      <c r="D10" s="216"/>
      <c r="E10" s="216" t="str">
        <f ca="1">IF(ISERROR($V10),"",OFFSET('Smelter Look-up'!$D$4,$V10-4,0)&amp;"")</f>
        <v/>
      </c>
      <c r="F10" s="216" t="str">
        <f ca="1">IF(ISERROR($V10),"",OFFSET('Smelter Look-up'!$E$4,$V10-4,0))</f>
        <v/>
      </c>
      <c r="G10" s="216" t="str">
        <f ca="1">IF(C10=$X$4,"Enter smelter details", IF(ISERROR($V10),"",OFFSET('Smelter Look-up'!$F$4,$V10-4,0)))</f>
        <v/>
      </c>
      <c r="H10" s="217" t="str">
        <f ca="1">IF(ISERROR($V10),"",OFFSET('Smelter Look-up'!$G$4,$V10-4,0))</f>
        <v/>
      </c>
      <c r="I10" s="218" t="str">
        <f ca="1">IF(ISERROR($V10),"",OFFSET('Smelter Look-up'!$H$4,$V10-4,0))</f>
        <v/>
      </c>
      <c r="J10" s="218" t="str">
        <f ca="1">IF(ISERROR($V10),"",OFFSET('Smelter Look-up'!$I$4,$V10-4,0))</f>
        <v/>
      </c>
      <c r="K10" s="267"/>
      <c r="L10" s="267"/>
      <c r="M10" s="267"/>
      <c r="N10" s="267"/>
      <c r="O10" s="267"/>
      <c r="P10" s="219"/>
      <c r="Q10" s="268"/>
      <c r="R10" s="216" t="str">
        <f ca="1">IF(ISERROR($V10),"",OFFSET('Smelter Look-up'!$C$4,$V10-4,0)&amp;"")</f>
        <v/>
      </c>
      <c r="S10" s="224" t="str">
        <f t="shared" ca="1" si="0"/>
        <v/>
      </c>
      <c r="T10" s="224" t="str">
        <f ca="1">IF(B10="","",IF(ISERROR(MATCH($J10,SorP!$B$1:$B$6230,0)),"",INDIRECT("'SorP'!$A$"&amp;MATCH($J10,SorP!$B$1:$B$6230,0))))</f>
        <v/>
      </c>
      <c r="U10" s="239"/>
      <c r="V10" s="269" t="e">
        <f>IF(C10="",NA(),MATCH($B10&amp;$C10,'Smelter Look-up'!$J:$J,0))</f>
        <v>#N/A</v>
      </c>
      <c r="W10" s="270"/>
      <c r="X10" s="270">
        <f t="shared" ca="1" si="1"/>
        <v>0</v>
      </c>
      <c r="Y10" s="270"/>
      <c r="Z10" s="270"/>
      <c r="AB10" s="272" t="str">
        <f t="shared" si="2"/>
        <v/>
      </c>
    </row>
    <row r="11" spans="1:34" s="271" customFormat="1" ht="20.100000000000001" customHeight="1">
      <c r="A11" s="215"/>
      <c r="B11" s="216" t="str">
        <f>IF(LEN(A11)=0,"",INDEX('Smelter Look-up'!$A:$A,MATCH($A11,'Smelter Look-up'!$E:$E,0)))</f>
        <v/>
      </c>
      <c r="C11" s="220" t="str">
        <f>IF(LEN(A11)=0,"",INDEX('Smelter Look-up'!$C:$C,MATCH($A11,'Smelter Look-up'!$E:$E,0)))</f>
        <v/>
      </c>
      <c r="D11" s="216"/>
      <c r="E11" s="216" t="str">
        <f ca="1">IF(ISERROR($V11),"",OFFSET('Smelter Look-up'!$D$4,$V11-4,0)&amp;"")</f>
        <v/>
      </c>
      <c r="F11" s="216" t="str">
        <f ca="1">IF(ISERROR($V11),"",OFFSET('Smelter Look-up'!$E$4,$V11-4,0))</f>
        <v/>
      </c>
      <c r="G11" s="216" t="str">
        <f ca="1">IF(C11=$X$4,"Enter smelter details", IF(ISERROR($V11),"",OFFSET('Smelter Look-up'!$F$4,$V11-4,0)))</f>
        <v/>
      </c>
      <c r="H11" s="217" t="str">
        <f ca="1">IF(ISERROR($V11),"",OFFSET('Smelter Look-up'!$G$4,$V11-4,0))</f>
        <v/>
      </c>
      <c r="I11" s="218" t="str">
        <f ca="1">IF(ISERROR($V11),"",OFFSET('Smelter Look-up'!$H$4,$V11-4,0))</f>
        <v/>
      </c>
      <c r="J11" s="218" t="str">
        <f ca="1">IF(ISERROR($V11),"",OFFSET('Smelter Look-up'!$I$4,$V11-4,0))</f>
        <v/>
      </c>
      <c r="K11" s="267"/>
      <c r="L11" s="267"/>
      <c r="M11" s="267"/>
      <c r="N11" s="267"/>
      <c r="O11" s="267"/>
      <c r="P11" s="219"/>
      <c r="Q11" s="268"/>
      <c r="R11" s="216" t="str">
        <f ca="1">IF(ISERROR($V11),"",OFFSET('Smelter Look-up'!$C$4,$V11-4,0)&amp;"")</f>
        <v/>
      </c>
      <c r="S11" s="224" t="str">
        <f t="shared" ca="1" si="0"/>
        <v/>
      </c>
      <c r="T11" s="224" t="str">
        <f ca="1">IF(B11="","",IF(ISERROR(MATCH($J11,SorP!$B$1:$B$6230,0)),"",INDIRECT("'SorP'!$A$"&amp;MATCH($J11,SorP!$B$1:$B$6230,0))))</f>
        <v/>
      </c>
      <c r="U11" s="239"/>
      <c r="V11" s="269" t="e">
        <f>IF(C11="",NA(),MATCH($B11&amp;$C11,'Smelter Look-up'!$J:$J,0))</f>
        <v>#N/A</v>
      </c>
      <c r="W11" s="270"/>
      <c r="X11" s="270">
        <f t="shared" ca="1" si="1"/>
        <v>0</v>
      </c>
      <c r="Y11" s="270"/>
      <c r="Z11" s="270"/>
      <c r="AB11" s="272" t="str">
        <f t="shared" si="2"/>
        <v/>
      </c>
    </row>
    <row r="12" spans="1:34" s="271" customFormat="1" ht="20.25">
      <c r="A12" s="215"/>
      <c r="B12" s="216" t="str">
        <f>IF(LEN(A12)=0,"",INDEX('Smelter Look-up'!$A:$A,MATCH($A12,'Smelter Look-up'!$E:$E,0)))</f>
        <v/>
      </c>
      <c r="C12" s="220" t="str">
        <f>IF(LEN(A12)=0,"",INDEX('Smelter Look-up'!$C:$C,MATCH($A12,'Smelter Look-up'!$E:$E,0)))</f>
        <v/>
      </c>
      <c r="D12" s="216"/>
      <c r="E12" s="216" t="str">
        <f ca="1">IF(ISERROR($V12),"",OFFSET('Smelter Look-up'!$D$4,$V12-4,0)&amp;"")</f>
        <v/>
      </c>
      <c r="F12" s="216" t="str">
        <f ca="1">IF(ISERROR($V12),"",OFFSET('Smelter Look-up'!$E$4,$V12-4,0))</f>
        <v/>
      </c>
      <c r="G12" s="216" t="str">
        <f ca="1">IF(C12=$X$4,"Enter smelter details", IF(ISERROR($V12),"",OFFSET('Smelter Look-up'!$F$4,$V12-4,0)))</f>
        <v/>
      </c>
      <c r="H12" s="217" t="str">
        <f ca="1">IF(ISERROR($V12),"",OFFSET('Smelter Look-up'!$G$4,$V12-4,0))</f>
        <v/>
      </c>
      <c r="I12" s="218" t="str">
        <f ca="1">IF(ISERROR($V12),"",OFFSET('Smelter Look-up'!$H$4,$V12-4,0))</f>
        <v/>
      </c>
      <c r="J12" s="218" t="str">
        <f ca="1">IF(ISERROR($V12),"",OFFSET('Smelter Look-up'!$I$4,$V12-4,0))</f>
        <v/>
      </c>
      <c r="K12" s="267"/>
      <c r="L12" s="267"/>
      <c r="M12" s="267"/>
      <c r="N12" s="267"/>
      <c r="O12" s="267"/>
      <c r="P12" s="219"/>
      <c r="Q12" s="268"/>
      <c r="R12" s="216" t="str">
        <f ca="1">IF(ISERROR($V12),"",OFFSET('Smelter Look-up'!$C$4,$V12-4,0)&amp;"")</f>
        <v/>
      </c>
      <c r="S12" s="224" t="str">
        <f t="shared" ca="1" si="0"/>
        <v/>
      </c>
      <c r="T12" s="224" t="str">
        <f ca="1">IF(B12="","",IF(ISERROR(MATCH($J12,SorP!$B$1:$B$6230,0)),"",INDIRECT("'SorP'!$A$"&amp;MATCH($J12,SorP!$B$1:$B$6230,0))))</f>
        <v/>
      </c>
      <c r="U12" s="239"/>
      <c r="V12" s="269" t="e">
        <f>IF(C12="",NA(),MATCH($B12&amp;$C12,'Smelter Look-up'!$J:$J,0))</f>
        <v>#N/A</v>
      </c>
      <c r="W12" s="270"/>
      <c r="X12" s="270">
        <f t="shared" ca="1" si="1"/>
        <v>0</v>
      </c>
      <c r="Y12" s="270"/>
      <c r="Z12" s="270"/>
      <c r="AB12" s="272" t="str">
        <f t="shared" si="2"/>
        <v/>
      </c>
    </row>
    <row r="13" spans="1:34" s="271" customFormat="1" ht="20.25">
      <c r="A13" s="215"/>
      <c r="B13" s="216" t="str">
        <f>IF(LEN(A13)=0,"",INDEX('Smelter Look-up'!$A:$A,MATCH($A13,'Smelter Look-up'!$E:$E,0)))</f>
        <v/>
      </c>
      <c r="C13" s="220" t="str">
        <f>IF(LEN(A13)=0,"",INDEX('Smelter Look-up'!$C:$C,MATCH($A13,'Smelter Look-up'!$E:$E,0)))</f>
        <v/>
      </c>
      <c r="D13" s="216"/>
      <c r="E13" s="216" t="str">
        <f ca="1">IF(ISERROR($V13),"",OFFSET('Smelter Look-up'!$D$4,$V13-4,0)&amp;"")</f>
        <v/>
      </c>
      <c r="F13" s="216" t="str">
        <f ca="1">IF(ISERROR($V13),"",OFFSET('Smelter Look-up'!$E$4,$V13-4,0))</f>
        <v/>
      </c>
      <c r="G13" s="216" t="str">
        <f ca="1">IF(C13=$X$4,"Enter smelter details", IF(ISERROR($V13),"",OFFSET('Smelter Look-up'!$F$4,$V13-4,0)))</f>
        <v/>
      </c>
      <c r="H13" s="217" t="str">
        <f ca="1">IF(ISERROR($V13),"",OFFSET('Smelter Look-up'!$G$4,$V13-4,0))</f>
        <v/>
      </c>
      <c r="I13" s="218" t="str">
        <f ca="1">IF(ISERROR($V13),"",OFFSET('Smelter Look-up'!$H$4,$V13-4,0))</f>
        <v/>
      </c>
      <c r="J13" s="218" t="str">
        <f ca="1">IF(ISERROR($V13),"",OFFSET('Smelter Look-up'!$I$4,$V13-4,0))</f>
        <v/>
      </c>
      <c r="K13" s="267"/>
      <c r="L13" s="267"/>
      <c r="M13" s="267"/>
      <c r="N13" s="267"/>
      <c r="O13" s="267"/>
      <c r="P13" s="219"/>
      <c r="Q13" s="268"/>
      <c r="R13" s="216" t="str">
        <f ca="1">IF(ISERROR($V13),"",OFFSET('Smelter Look-up'!$C$4,$V13-4,0)&amp;"")</f>
        <v/>
      </c>
      <c r="S13" s="224" t="str">
        <f t="shared" ca="1" si="0"/>
        <v/>
      </c>
      <c r="T13" s="224" t="str">
        <f ca="1">IF(B13="","",IF(ISERROR(MATCH($J13,SorP!$B$1:$B$6230,0)),"",INDIRECT("'SorP'!$A$"&amp;MATCH($J13,SorP!$B$1:$B$6230,0))))</f>
        <v/>
      </c>
      <c r="U13" s="239"/>
      <c r="V13" s="269" t="e">
        <f>IF(C13="",NA(),MATCH($B13&amp;$C13,'Smelter Look-up'!$J:$J,0))</f>
        <v>#N/A</v>
      </c>
      <c r="W13" s="270"/>
      <c r="X13" s="270">
        <f t="shared" ca="1" si="1"/>
        <v>0</v>
      </c>
      <c r="Y13" s="270"/>
      <c r="Z13" s="270"/>
      <c r="AB13" s="272" t="str">
        <f t="shared" si="2"/>
        <v/>
      </c>
    </row>
    <row r="14" spans="1:34" s="271" customFormat="1" ht="20.25">
      <c r="A14" s="215"/>
      <c r="B14" s="216" t="str">
        <f>IF(LEN(A14)=0,"",INDEX('Smelter Look-up'!$A:$A,MATCH($A14,'Smelter Look-up'!$E:$E,0)))</f>
        <v/>
      </c>
      <c r="C14" s="220" t="str">
        <f>IF(LEN(A14)=0,"",INDEX('Smelter Look-up'!$C:$C,MATCH($A14,'Smelter Look-up'!$E:$E,0)))</f>
        <v/>
      </c>
      <c r="D14" s="216"/>
      <c r="E14" s="216" t="str">
        <f ca="1">IF(ISERROR($V14),"",OFFSET('Smelter Look-up'!$D$4,$V14-4,0)&amp;"")</f>
        <v/>
      </c>
      <c r="F14" s="216" t="str">
        <f ca="1">IF(ISERROR($V14),"",OFFSET('Smelter Look-up'!$E$4,$V14-4,0))</f>
        <v/>
      </c>
      <c r="G14" s="216" t="str">
        <f ca="1">IF(C14=$X$4,"Enter smelter details", IF(ISERROR($V14),"",OFFSET('Smelter Look-up'!$F$4,$V14-4,0)))</f>
        <v/>
      </c>
      <c r="H14" s="217" t="str">
        <f ca="1">IF(ISERROR($V14),"",OFFSET('Smelter Look-up'!$G$4,$V14-4,0))</f>
        <v/>
      </c>
      <c r="I14" s="218" t="str">
        <f ca="1">IF(ISERROR($V14),"",OFFSET('Smelter Look-up'!$H$4,$V14-4,0))</f>
        <v/>
      </c>
      <c r="J14" s="218" t="str">
        <f ca="1">IF(ISERROR($V14),"",OFFSET('Smelter Look-up'!$I$4,$V14-4,0))</f>
        <v/>
      </c>
      <c r="K14" s="267"/>
      <c r="L14" s="267"/>
      <c r="M14" s="267"/>
      <c r="N14" s="267"/>
      <c r="O14" s="267"/>
      <c r="P14" s="219"/>
      <c r="Q14" s="268"/>
      <c r="R14" s="216" t="str">
        <f ca="1">IF(ISERROR($V14),"",OFFSET('Smelter Look-up'!$C$4,$V14-4,0)&amp;"")</f>
        <v/>
      </c>
      <c r="S14" s="224" t="str">
        <f t="shared" ca="1" si="0"/>
        <v/>
      </c>
      <c r="T14" s="224" t="str">
        <f ca="1">IF(B14="","",IF(ISERROR(MATCH($J14,SorP!$B$1:$B$6230,0)),"",INDIRECT("'SorP'!$A$"&amp;MATCH($J14,SorP!$B$1:$B$6230,0))))</f>
        <v/>
      </c>
      <c r="U14" s="239"/>
      <c r="V14" s="269" t="e">
        <f>IF(C14="",NA(),MATCH($B14&amp;$C14,'Smelter Look-up'!$J:$J,0))</f>
        <v>#N/A</v>
      </c>
      <c r="W14" s="270"/>
      <c r="X14" s="270">
        <f t="shared" ca="1" si="1"/>
        <v>0</v>
      </c>
      <c r="Y14" s="270"/>
      <c r="Z14" s="270"/>
      <c r="AB14" s="272" t="str">
        <f t="shared" si="2"/>
        <v/>
      </c>
    </row>
    <row r="15" spans="1:34" s="271" customFormat="1" ht="20.25">
      <c r="A15" s="215"/>
      <c r="B15" s="216" t="str">
        <f>IF(LEN(A15)=0,"",INDEX('Smelter Look-up'!$A:$A,MATCH($A15,'Smelter Look-up'!$E:$E,0)))</f>
        <v/>
      </c>
      <c r="C15" s="220" t="str">
        <f>IF(LEN(A15)=0,"",INDEX('Smelter Look-up'!$C:$C,MATCH($A15,'Smelter Look-up'!$E:$E,0)))</f>
        <v/>
      </c>
      <c r="D15" s="216"/>
      <c r="E15" s="216" t="str">
        <f ca="1">IF(ISERROR($V15),"",OFFSET('Smelter Look-up'!$D$4,$V15-4,0)&amp;"")</f>
        <v/>
      </c>
      <c r="F15" s="216" t="str">
        <f ca="1">IF(ISERROR($V15),"",OFFSET('Smelter Look-up'!$E$4,$V15-4,0))</f>
        <v/>
      </c>
      <c r="G15" s="216" t="str">
        <f ca="1">IF(C15=$X$4,"Enter smelter details", IF(ISERROR($V15),"",OFFSET('Smelter Look-up'!$F$4,$V15-4,0)))</f>
        <v/>
      </c>
      <c r="H15" s="217" t="str">
        <f ca="1">IF(ISERROR($V15),"",OFFSET('Smelter Look-up'!$G$4,$V15-4,0))</f>
        <v/>
      </c>
      <c r="I15" s="218" t="str">
        <f ca="1">IF(ISERROR($V15),"",OFFSET('Smelter Look-up'!$H$4,$V15-4,0))</f>
        <v/>
      </c>
      <c r="J15" s="218" t="str">
        <f ca="1">IF(ISERROR($V15),"",OFFSET('Smelter Look-up'!$I$4,$V15-4,0))</f>
        <v/>
      </c>
      <c r="K15" s="267"/>
      <c r="L15" s="267"/>
      <c r="M15" s="267"/>
      <c r="N15" s="267"/>
      <c r="O15" s="267"/>
      <c r="P15" s="219"/>
      <c r="Q15" s="268"/>
      <c r="R15" s="216" t="str">
        <f ca="1">IF(ISERROR($V15),"",OFFSET('Smelter Look-up'!$C$4,$V15-4,0)&amp;"")</f>
        <v/>
      </c>
      <c r="S15" s="224" t="str">
        <f t="shared" ca="1" si="0"/>
        <v/>
      </c>
      <c r="T15" s="224" t="str">
        <f ca="1">IF(B15="","",IF(ISERROR(MATCH($J15,SorP!$B$1:$B$6230,0)),"",INDIRECT("'SorP'!$A$"&amp;MATCH($J15,SorP!$B$1:$B$6230,0))))</f>
        <v/>
      </c>
      <c r="U15" s="239"/>
      <c r="V15" s="269" t="e">
        <f>IF(C15="",NA(),MATCH($B15&amp;$C15,'Smelter Look-up'!$J:$J,0))</f>
        <v>#N/A</v>
      </c>
      <c r="W15" s="270"/>
      <c r="X15" s="270">
        <f t="shared" ca="1" si="1"/>
        <v>0</v>
      </c>
      <c r="Y15" s="270"/>
      <c r="Z15" s="270"/>
      <c r="AB15" s="272" t="str">
        <f t="shared" si="2"/>
        <v/>
      </c>
    </row>
    <row r="16" spans="1:34" s="271" customFormat="1" ht="20.25">
      <c r="A16" s="215"/>
      <c r="B16" s="216" t="str">
        <f>IF(LEN(A16)=0,"",INDEX('Smelter Look-up'!$A:$A,MATCH($A16,'Smelter Look-up'!$E:$E,0)))</f>
        <v/>
      </c>
      <c r="C16" s="220" t="str">
        <f>IF(LEN(A16)=0,"",INDEX('Smelter Look-up'!$C:$C,MATCH($A16,'Smelter Look-up'!$E:$E,0)))</f>
        <v/>
      </c>
      <c r="D16" s="216"/>
      <c r="E16" s="216" t="str">
        <f ca="1">IF(ISERROR($V16),"",OFFSET('Smelter Look-up'!$D$4,$V16-4,0)&amp;"")</f>
        <v/>
      </c>
      <c r="F16" s="216" t="str">
        <f ca="1">IF(ISERROR($V16),"",OFFSET('Smelter Look-up'!$E$4,$V16-4,0))</f>
        <v/>
      </c>
      <c r="G16" s="216" t="str">
        <f ca="1">IF(C16=$X$4,"Enter smelter details", IF(ISERROR($V16),"",OFFSET('Smelter Look-up'!$F$4,$V16-4,0)))</f>
        <v/>
      </c>
      <c r="H16" s="217" t="str">
        <f ca="1">IF(ISERROR($V16),"",OFFSET('Smelter Look-up'!$G$4,$V16-4,0))</f>
        <v/>
      </c>
      <c r="I16" s="218" t="str">
        <f ca="1">IF(ISERROR($V16),"",OFFSET('Smelter Look-up'!$H$4,$V16-4,0))</f>
        <v/>
      </c>
      <c r="J16" s="218" t="str">
        <f ca="1">IF(ISERROR($V16),"",OFFSET('Smelter Look-up'!$I$4,$V16-4,0))</f>
        <v/>
      </c>
      <c r="K16" s="267"/>
      <c r="L16" s="267"/>
      <c r="M16" s="267"/>
      <c r="N16" s="267"/>
      <c r="O16" s="267"/>
      <c r="P16" s="219"/>
      <c r="Q16" s="268"/>
      <c r="R16" s="216" t="str">
        <f ca="1">IF(ISERROR($V16),"",OFFSET('Smelter Look-up'!$C$4,$V16-4,0)&amp;"")</f>
        <v/>
      </c>
      <c r="S16" s="224" t="str">
        <f t="shared" ca="1" si="0"/>
        <v/>
      </c>
      <c r="T16" s="224" t="str">
        <f ca="1">IF(B16="","",IF(ISERROR(MATCH($J16,SorP!$B$1:$B$6230,0)),"",INDIRECT("'SorP'!$A$"&amp;MATCH($J16,SorP!$B$1:$B$6230,0))))</f>
        <v/>
      </c>
      <c r="U16" s="239"/>
      <c r="V16" s="269" t="e">
        <f>IF(C16="",NA(),MATCH($B16&amp;$C16,'Smelter Look-up'!$J:$J,0))</f>
        <v>#N/A</v>
      </c>
      <c r="W16" s="270"/>
      <c r="X16" s="270">
        <f t="shared" ca="1" si="1"/>
        <v>0</v>
      </c>
      <c r="Y16" s="270"/>
      <c r="Z16" s="270"/>
      <c r="AB16" s="272" t="str">
        <f t="shared" si="2"/>
        <v/>
      </c>
    </row>
    <row r="17" spans="1:28" s="271" customFormat="1" ht="20.25">
      <c r="A17" s="215"/>
      <c r="B17" s="216" t="str">
        <f>IF(LEN(A17)=0,"",INDEX('Smelter Look-up'!$A:$A,MATCH($A17,'Smelter Look-up'!$E:$E,0)))</f>
        <v/>
      </c>
      <c r="C17" s="220" t="str">
        <f>IF(LEN(A17)=0,"",INDEX('Smelter Look-up'!$C:$C,MATCH($A17,'Smelter Look-up'!$E:$E,0)))</f>
        <v/>
      </c>
      <c r="D17" s="216"/>
      <c r="E17" s="216" t="str">
        <f ca="1">IF(ISERROR($V17),"",OFFSET('Smelter Look-up'!$D$4,$V17-4,0)&amp;"")</f>
        <v/>
      </c>
      <c r="F17" s="216" t="str">
        <f ca="1">IF(ISERROR($V17),"",OFFSET('Smelter Look-up'!$E$4,$V17-4,0))</f>
        <v/>
      </c>
      <c r="G17" s="216" t="str">
        <f ca="1">IF(C17=$X$4,"Enter smelter details", IF(ISERROR($V17),"",OFFSET('Smelter Look-up'!$F$4,$V17-4,0)))</f>
        <v/>
      </c>
      <c r="H17" s="217" t="str">
        <f ca="1">IF(ISERROR($V17),"",OFFSET('Smelter Look-up'!$G$4,$V17-4,0))</f>
        <v/>
      </c>
      <c r="I17" s="218" t="str">
        <f ca="1">IF(ISERROR($V17),"",OFFSET('Smelter Look-up'!$H$4,$V17-4,0))</f>
        <v/>
      </c>
      <c r="J17" s="218" t="str">
        <f ca="1">IF(ISERROR($V17),"",OFFSET('Smelter Look-up'!$I$4,$V17-4,0))</f>
        <v/>
      </c>
      <c r="K17" s="267"/>
      <c r="L17" s="267"/>
      <c r="M17" s="267"/>
      <c r="N17" s="267"/>
      <c r="O17" s="267"/>
      <c r="P17" s="219"/>
      <c r="Q17" s="268"/>
      <c r="R17" s="216" t="str">
        <f ca="1">IF(ISERROR($V17),"",OFFSET('Smelter Look-up'!$C$4,$V17-4,0)&amp;"")</f>
        <v/>
      </c>
      <c r="S17" s="224" t="str">
        <f t="shared" ca="1" si="0"/>
        <v/>
      </c>
      <c r="T17" s="224" t="str">
        <f ca="1">IF(B17="","",IF(ISERROR(MATCH($J17,SorP!$B$1:$B$6230,0)),"",INDIRECT("'SorP'!$A$"&amp;MATCH($J17,SorP!$B$1:$B$6230,0))))</f>
        <v/>
      </c>
      <c r="U17" s="239"/>
      <c r="V17" s="269" t="e">
        <f>IF(C17="",NA(),MATCH($B17&amp;$C17,'Smelter Look-up'!$J:$J,0))</f>
        <v>#N/A</v>
      </c>
      <c r="W17" s="270"/>
      <c r="X17" s="270">
        <f t="shared" ca="1" si="1"/>
        <v>0</v>
      </c>
      <c r="Y17" s="270"/>
      <c r="Z17" s="270"/>
      <c r="AB17" s="272" t="str">
        <f t="shared" si="2"/>
        <v/>
      </c>
    </row>
    <row r="18" spans="1:28" s="271" customFormat="1" ht="20.25">
      <c r="A18" s="215"/>
      <c r="B18" s="216" t="str">
        <f>IF(LEN(A18)=0,"",INDEX('Smelter Look-up'!$A:$A,MATCH($A18,'Smelter Look-up'!$E:$E,0)))</f>
        <v/>
      </c>
      <c r="C18" s="220" t="str">
        <f>IF(LEN(A18)=0,"",INDEX('Smelter Look-up'!$C:$C,MATCH($A18,'Smelter Look-up'!$E:$E,0)))</f>
        <v/>
      </c>
      <c r="D18" s="216"/>
      <c r="E18" s="216" t="str">
        <f ca="1">IF(ISERROR($V18),"",OFFSET('Smelter Look-up'!$D$4,$V18-4,0)&amp;"")</f>
        <v/>
      </c>
      <c r="F18" s="216" t="str">
        <f ca="1">IF(ISERROR($V18),"",OFFSET('Smelter Look-up'!$E$4,$V18-4,0))</f>
        <v/>
      </c>
      <c r="G18" s="216" t="str">
        <f ca="1">IF(C18=$X$4,"Enter smelter details", IF(ISERROR($V18),"",OFFSET('Smelter Look-up'!$F$4,$V18-4,0)))</f>
        <v/>
      </c>
      <c r="H18" s="217" t="str">
        <f ca="1">IF(ISERROR($V18),"",OFFSET('Smelter Look-up'!$G$4,$V18-4,0))</f>
        <v/>
      </c>
      <c r="I18" s="218" t="str">
        <f ca="1">IF(ISERROR($V18),"",OFFSET('Smelter Look-up'!$H$4,$V18-4,0))</f>
        <v/>
      </c>
      <c r="J18" s="218" t="str">
        <f ca="1">IF(ISERROR($V18),"",OFFSET('Smelter Look-up'!$I$4,$V18-4,0))</f>
        <v/>
      </c>
      <c r="K18" s="267"/>
      <c r="L18" s="267"/>
      <c r="M18" s="267"/>
      <c r="N18" s="267"/>
      <c r="O18" s="267"/>
      <c r="P18" s="219"/>
      <c r="Q18" s="268"/>
      <c r="R18" s="216" t="str">
        <f ca="1">IF(ISERROR($V18),"",OFFSET('Smelter Look-up'!$C$4,$V18-4,0)&amp;"")</f>
        <v/>
      </c>
      <c r="S18" s="224" t="str">
        <f t="shared" ca="1" si="0"/>
        <v/>
      </c>
      <c r="T18" s="224" t="str">
        <f ca="1">IF(B18="","",IF(ISERROR(MATCH($J18,SorP!$B$1:$B$6230,0)),"",INDIRECT("'SorP'!$A$"&amp;MATCH($J18,SorP!$B$1:$B$6230,0))))</f>
        <v/>
      </c>
      <c r="U18" s="239"/>
      <c r="V18" s="269" t="e">
        <f>IF(C18="",NA(),MATCH($B18&amp;$C18,'Smelter Look-up'!$J:$J,0))</f>
        <v>#N/A</v>
      </c>
      <c r="W18" s="270"/>
      <c r="X18" s="270">
        <f t="shared" ca="1" si="1"/>
        <v>0</v>
      </c>
      <c r="Y18" s="270"/>
      <c r="Z18" s="270"/>
      <c r="AB18" s="272" t="str">
        <f t="shared" si="2"/>
        <v/>
      </c>
    </row>
    <row r="19" spans="1:28" s="271" customFormat="1" ht="20.25">
      <c r="A19" s="215"/>
      <c r="B19" s="216" t="str">
        <f>IF(LEN(A19)=0,"",INDEX('Smelter Look-up'!$A:$A,MATCH($A19,'Smelter Look-up'!$E:$E,0)))</f>
        <v/>
      </c>
      <c r="C19" s="220" t="str">
        <f>IF(LEN(A19)=0,"",INDEX('Smelter Look-up'!$C:$C,MATCH($A19,'Smelter Look-up'!$E:$E,0)))</f>
        <v/>
      </c>
      <c r="D19" s="216"/>
      <c r="E19" s="216" t="str">
        <f ca="1">IF(ISERROR($V19),"",OFFSET('Smelter Look-up'!$D$4,$V19-4,0)&amp;"")</f>
        <v/>
      </c>
      <c r="F19" s="216" t="str">
        <f ca="1">IF(ISERROR($V19),"",OFFSET('Smelter Look-up'!$E$4,$V19-4,0))</f>
        <v/>
      </c>
      <c r="G19" s="216" t="str">
        <f ca="1">IF(C19=$X$4,"Enter smelter details", IF(ISERROR($V19),"",OFFSET('Smelter Look-up'!$F$4,$V19-4,0)))</f>
        <v/>
      </c>
      <c r="H19" s="217" t="str">
        <f ca="1">IF(ISERROR($V19),"",OFFSET('Smelter Look-up'!$G$4,$V19-4,0))</f>
        <v/>
      </c>
      <c r="I19" s="218" t="str">
        <f ca="1">IF(ISERROR($V19),"",OFFSET('Smelter Look-up'!$H$4,$V19-4,0))</f>
        <v/>
      </c>
      <c r="J19" s="218" t="str">
        <f ca="1">IF(ISERROR($V19),"",OFFSET('Smelter Look-up'!$I$4,$V19-4,0))</f>
        <v/>
      </c>
      <c r="K19" s="267"/>
      <c r="L19" s="267"/>
      <c r="M19" s="267"/>
      <c r="N19" s="267"/>
      <c r="O19" s="267"/>
      <c r="P19" s="219"/>
      <c r="Q19" s="268"/>
      <c r="R19" s="216" t="str">
        <f ca="1">IF(ISERROR($V19),"",OFFSET('Smelter Look-up'!$C$4,$V19-4,0)&amp;"")</f>
        <v/>
      </c>
      <c r="S19" s="224" t="str">
        <f t="shared" ca="1" si="0"/>
        <v/>
      </c>
      <c r="T19" s="224" t="str">
        <f ca="1">IF(B19="","",IF(ISERROR(MATCH($J19,SorP!$B$1:$B$6230,0)),"",INDIRECT("'SorP'!$A$"&amp;MATCH($J19,SorP!$B$1:$B$6230,0))))</f>
        <v/>
      </c>
      <c r="U19" s="239"/>
      <c r="V19" s="269" t="e">
        <f>IF(C19="",NA(),MATCH($B19&amp;$C19,'Smelter Look-up'!$J:$J,0))</f>
        <v>#N/A</v>
      </c>
      <c r="W19" s="270"/>
      <c r="X19" s="270">
        <f t="shared" ca="1" si="1"/>
        <v>0</v>
      </c>
      <c r="Y19" s="270"/>
      <c r="Z19" s="270"/>
      <c r="AB19" s="272" t="str">
        <f t="shared" si="2"/>
        <v/>
      </c>
    </row>
    <row r="20" spans="1:28" s="271" customFormat="1" ht="20.25">
      <c r="A20" s="215"/>
      <c r="B20" s="216" t="str">
        <f>IF(LEN(A20)=0,"",INDEX('Smelter Look-up'!$A:$A,MATCH($A20,'Smelter Look-up'!$E:$E,0)))</f>
        <v/>
      </c>
      <c r="C20" s="220" t="str">
        <f>IF(LEN(A20)=0,"",INDEX('Smelter Look-up'!$C:$C,MATCH($A20,'Smelter Look-up'!$E:$E,0)))</f>
        <v/>
      </c>
      <c r="D20" s="216"/>
      <c r="E20" s="216" t="str">
        <f ca="1">IF(ISERROR($V20),"",OFFSET('Smelter Look-up'!$D$4,$V20-4,0)&amp;"")</f>
        <v/>
      </c>
      <c r="F20" s="216" t="str">
        <f ca="1">IF(ISERROR($V20),"",OFFSET('Smelter Look-up'!$E$4,$V20-4,0))</f>
        <v/>
      </c>
      <c r="G20" s="216" t="str">
        <f ca="1">IF(C20=$X$4,"Enter smelter details", IF(ISERROR($V20),"",OFFSET('Smelter Look-up'!$F$4,$V20-4,0)))</f>
        <v/>
      </c>
      <c r="H20" s="217" t="str">
        <f ca="1">IF(ISERROR($V20),"",OFFSET('Smelter Look-up'!$G$4,$V20-4,0))</f>
        <v/>
      </c>
      <c r="I20" s="218" t="str">
        <f ca="1">IF(ISERROR($V20),"",OFFSET('Smelter Look-up'!$H$4,$V20-4,0))</f>
        <v/>
      </c>
      <c r="J20" s="218" t="str">
        <f ca="1">IF(ISERROR($V20),"",OFFSET('Smelter Look-up'!$I$4,$V20-4,0))</f>
        <v/>
      </c>
      <c r="K20" s="267"/>
      <c r="L20" s="267"/>
      <c r="M20" s="267"/>
      <c r="N20" s="267"/>
      <c r="O20" s="267"/>
      <c r="P20" s="219"/>
      <c r="Q20" s="268"/>
      <c r="R20" s="216" t="str">
        <f ca="1">IF(ISERROR($V20),"",OFFSET('Smelter Look-up'!$C$4,$V20-4,0)&amp;"")</f>
        <v/>
      </c>
      <c r="S20" s="224" t="str">
        <f t="shared" ca="1" si="0"/>
        <v/>
      </c>
      <c r="T20" s="224" t="str">
        <f ca="1">IF(B20="","",IF(ISERROR(MATCH($J20,SorP!$B$1:$B$6230,0)),"",INDIRECT("'SorP'!$A$"&amp;MATCH($J20,SorP!$B$1:$B$6230,0))))</f>
        <v/>
      </c>
      <c r="U20" s="239"/>
      <c r="V20" s="269" t="e">
        <f>IF(C20="",NA(),MATCH($B20&amp;$C20,'Smelter Look-up'!$J:$J,0))</f>
        <v>#N/A</v>
      </c>
      <c r="W20" s="270"/>
      <c r="X20" s="270">
        <f t="shared" ca="1" si="1"/>
        <v>0</v>
      </c>
      <c r="Y20" s="270"/>
      <c r="Z20" s="270"/>
      <c r="AB20" s="272" t="str">
        <f t="shared" si="2"/>
        <v/>
      </c>
    </row>
    <row r="21" spans="1:28" s="271" customFormat="1" ht="20.25">
      <c r="A21" s="215"/>
      <c r="B21" s="216" t="str">
        <f>IF(LEN(A21)=0,"",INDEX('Smelter Look-up'!$A:$A,MATCH($A21,'Smelter Look-up'!$E:$E,0)))</f>
        <v/>
      </c>
      <c r="C21" s="220" t="str">
        <f>IF(LEN(A21)=0,"",INDEX('Smelter Look-up'!$C:$C,MATCH($A21,'Smelter Look-up'!$E:$E,0)))</f>
        <v/>
      </c>
      <c r="D21" s="216"/>
      <c r="E21" s="216" t="str">
        <f ca="1">IF(ISERROR($V21),"",OFFSET('Smelter Look-up'!$D$4,$V21-4,0)&amp;"")</f>
        <v/>
      </c>
      <c r="F21" s="216" t="str">
        <f ca="1">IF(ISERROR($V21),"",OFFSET('Smelter Look-up'!$E$4,$V21-4,0))</f>
        <v/>
      </c>
      <c r="G21" s="216" t="str">
        <f ca="1">IF(C21=$X$4,"Enter smelter details", IF(ISERROR($V21),"",OFFSET('Smelter Look-up'!$F$4,$V21-4,0)))</f>
        <v/>
      </c>
      <c r="H21" s="217" t="str">
        <f ca="1">IF(ISERROR($V21),"",OFFSET('Smelter Look-up'!$G$4,$V21-4,0))</f>
        <v/>
      </c>
      <c r="I21" s="218" t="str">
        <f ca="1">IF(ISERROR($V21),"",OFFSET('Smelter Look-up'!$H$4,$V21-4,0))</f>
        <v/>
      </c>
      <c r="J21" s="218" t="str">
        <f ca="1">IF(ISERROR($V21),"",OFFSET('Smelter Look-up'!$I$4,$V21-4,0))</f>
        <v/>
      </c>
      <c r="K21" s="267"/>
      <c r="L21" s="267"/>
      <c r="M21" s="267"/>
      <c r="N21" s="267"/>
      <c r="O21" s="267"/>
      <c r="P21" s="219"/>
      <c r="Q21" s="268"/>
      <c r="R21" s="216" t="str">
        <f ca="1">IF(ISERROR($V21),"",OFFSET('Smelter Look-up'!$C$4,$V21-4,0)&amp;"")</f>
        <v/>
      </c>
      <c r="S21" s="224" t="str">
        <f t="shared" ca="1" si="0"/>
        <v/>
      </c>
      <c r="T21" s="224" t="str">
        <f ca="1">IF(B21="","",IF(ISERROR(MATCH($J21,SorP!$B$1:$B$6230,0)),"",INDIRECT("'SorP'!$A$"&amp;MATCH($J21,SorP!$B$1:$B$6230,0))))</f>
        <v/>
      </c>
      <c r="U21" s="239"/>
      <c r="V21" s="269" t="e">
        <f>IF(C21="",NA(),MATCH($B21&amp;$C21,'Smelter Look-up'!$J:$J,0))</f>
        <v>#N/A</v>
      </c>
      <c r="W21" s="270"/>
      <c r="X21" s="270">
        <f t="shared" ca="1" si="1"/>
        <v>0</v>
      </c>
      <c r="Y21" s="270"/>
      <c r="Z21" s="270"/>
      <c r="AB21" s="272" t="str">
        <f t="shared" si="2"/>
        <v/>
      </c>
    </row>
    <row r="22" spans="1:28" s="271" customFormat="1" ht="20.25">
      <c r="A22" s="215"/>
      <c r="B22" s="216" t="str">
        <f>IF(LEN(A22)=0,"",INDEX('Smelter Look-up'!$A:$A,MATCH($A22,'Smelter Look-up'!$E:$E,0)))</f>
        <v/>
      </c>
      <c r="C22" s="220" t="str">
        <f>IF(LEN(A22)=0,"",INDEX('Smelter Look-up'!$C:$C,MATCH($A22,'Smelter Look-up'!$E:$E,0)))</f>
        <v/>
      </c>
      <c r="D22" s="216"/>
      <c r="E22" s="216" t="str">
        <f ca="1">IF(ISERROR($V22),"",OFFSET('Smelter Look-up'!$D$4,$V22-4,0)&amp;"")</f>
        <v/>
      </c>
      <c r="F22" s="216" t="str">
        <f ca="1">IF(ISERROR($V22),"",OFFSET('Smelter Look-up'!$E$4,$V22-4,0))</f>
        <v/>
      </c>
      <c r="G22" s="216" t="str">
        <f ca="1">IF(C22=$X$4,"Enter smelter details", IF(ISERROR($V22),"",OFFSET('Smelter Look-up'!$F$4,$V22-4,0)))</f>
        <v/>
      </c>
      <c r="H22" s="217" t="str">
        <f ca="1">IF(ISERROR($V22),"",OFFSET('Smelter Look-up'!$G$4,$V22-4,0))</f>
        <v/>
      </c>
      <c r="I22" s="218" t="str">
        <f ca="1">IF(ISERROR($V22),"",OFFSET('Smelter Look-up'!$H$4,$V22-4,0))</f>
        <v/>
      </c>
      <c r="J22" s="218" t="str">
        <f ca="1">IF(ISERROR($V22),"",OFFSET('Smelter Look-up'!$I$4,$V22-4,0))</f>
        <v/>
      </c>
      <c r="K22" s="267"/>
      <c r="L22" s="267"/>
      <c r="M22" s="267"/>
      <c r="N22" s="267"/>
      <c r="O22" s="267"/>
      <c r="P22" s="219"/>
      <c r="Q22" s="268"/>
      <c r="R22" s="216" t="str">
        <f ca="1">IF(ISERROR($V22),"",OFFSET('Smelter Look-up'!$C$4,$V22-4,0)&amp;"")</f>
        <v/>
      </c>
      <c r="S22" s="224" t="str">
        <f t="shared" ca="1" si="0"/>
        <v/>
      </c>
      <c r="T22" s="224" t="str">
        <f ca="1">IF(B22="","",IF(ISERROR(MATCH($J22,SorP!$B$1:$B$6230,0)),"",INDIRECT("'SorP'!$A$"&amp;MATCH($J22,SorP!$B$1:$B$6230,0))))</f>
        <v/>
      </c>
      <c r="U22" s="239"/>
      <c r="V22" s="269" t="e">
        <f>IF(C22="",NA(),MATCH($B22&amp;$C22,'Smelter Look-up'!$J:$J,0))</f>
        <v>#N/A</v>
      </c>
      <c r="W22" s="270"/>
      <c r="X22" s="270">
        <f t="shared" ca="1" si="1"/>
        <v>0</v>
      </c>
      <c r="Y22" s="270"/>
      <c r="Z22" s="270"/>
      <c r="AB22" s="272" t="str">
        <f t="shared" si="2"/>
        <v/>
      </c>
    </row>
    <row r="23" spans="1:28" s="271" customFormat="1" ht="20.25">
      <c r="A23" s="215"/>
      <c r="B23" s="216" t="str">
        <f>IF(LEN(A23)=0,"",INDEX('Smelter Look-up'!$A:$A,MATCH($A23,'Smelter Look-up'!$E:$E,0)))</f>
        <v/>
      </c>
      <c r="C23" s="220" t="str">
        <f>IF(LEN(A23)=0,"",INDEX('Smelter Look-up'!$C:$C,MATCH($A23,'Smelter Look-up'!$E:$E,0)))</f>
        <v/>
      </c>
      <c r="D23" s="216"/>
      <c r="E23" s="216" t="str">
        <f ca="1">IF(ISERROR($V23),"",OFFSET('Smelter Look-up'!$D$4,$V23-4,0)&amp;"")</f>
        <v/>
      </c>
      <c r="F23" s="216" t="str">
        <f ca="1">IF(ISERROR($V23),"",OFFSET('Smelter Look-up'!$E$4,$V23-4,0))</f>
        <v/>
      </c>
      <c r="G23" s="216" t="str">
        <f ca="1">IF(C23=$X$4,"Enter smelter details", IF(ISERROR($V23),"",OFFSET('Smelter Look-up'!$F$4,$V23-4,0)))</f>
        <v/>
      </c>
      <c r="H23" s="217" t="str">
        <f ca="1">IF(ISERROR($V23),"",OFFSET('Smelter Look-up'!$G$4,$V23-4,0))</f>
        <v/>
      </c>
      <c r="I23" s="218" t="str">
        <f ca="1">IF(ISERROR($V23),"",OFFSET('Smelter Look-up'!$H$4,$V23-4,0))</f>
        <v/>
      </c>
      <c r="J23" s="218" t="str">
        <f ca="1">IF(ISERROR($V23),"",OFFSET('Smelter Look-up'!$I$4,$V23-4,0))</f>
        <v/>
      </c>
      <c r="K23" s="267"/>
      <c r="L23" s="267"/>
      <c r="M23" s="267"/>
      <c r="N23" s="267"/>
      <c r="O23" s="267"/>
      <c r="P23" s="219"/>
      <c r="Q23" s="268"/>
      <c r="R23" s="216" t="str">
        <f ca="1">IF(ISERROR($V23),"",OFFSET('Smelter Look-up'!$C$4,$V23-4,0)&amp;"")</f>
        <v/>
      </c>
      <c r="S23" s="224" t="str">
        <f t="shared" ca="1" si="0"/>
        <v/>
      </c>
      <c r="T23" s="224" t="str">
        <f ca="1">IF(B23="","",IF(ISERROR(MATCH($J23,SorP!$B$1:$B$6230,0)),"",INDIRECT("'SorP'!$A$"&amp;MATCH($J23,SorP!$B$1:$B$6230,0))))</f>
        <v/>
      </c>
      <c r="U23" s="239"/>
      <c r="V23" s="269" t="e">
        <f>IF(C23="",NA(),MATCH($B23&amp;$C23,'Smelter Look-up'!$J:$J,0))</f>
        <v>#N/A</v>
      </c>
      <c r="W23" s="270"/>
      <c r="X23" s="270">
        <f t="shared" ca="1" si="1"/>
        <v>0</v>
      </c>
      <c r="Y23" s="270"/>
      <c r="Z23" s="270"/>
      <c r="AB23" s="272" t="str">
        <f t="shared" si="2"/>
        <v/>
      </c>
    </row>
    <row r="24" spans="1:28" s="271" customFormat="1" ht="20.25">
      <c r="A24" s="215"/>
      <c r="B24" s="216" t="str">
        <f>IF(LEN(A24)=0,"",INDEX('Smelter Look-up'!$A:$A,MATCH($A24,'Smelter Look-up'!$E:$E,0)))</f>
        <v/>
      </c>
      <c r="C24" s="220" t="str">
        <f>IF(LEN(A24)=0,"",INDEX('Smelter Look-up'!$C:$C,MATCH($A24,'Smelter Look-up'!$E:$E,0)))</f>
        <v/>
      </c>
      <c r="D24" s="216"/>
      <c r="E24" s="216" t="str">
        <f ca="1">IF(ISERROR($V24),"",OFFSET('Smelter Look-up'!$D$4,$V24-4,0)&amp;"")</f>
        <v/>
      </c>
      <c r="F24" s="216" t="str">
        <f ca="1">IF(ISERROR($V24),"",OFFSET('Smelter Look-up'!$E$4,$V24-4,0))</f>
        <v/>
      </c>
      <c r="G24" s="216" t="str">
        <f ca="1">IF(C24=$X$4,"Enter smelter details", IF(ISERROR($V24),"",OFFSET('Smelter Look-up'!$F$4,$V24-4,0)))</f>
        <v/>
      </c>
      <c r="H24" s="217" t="str">
        <f ca="1">IF(ISERROR($V24),"",OFFSET('Smelter Look-up'!$G$4,$V24-4,0))</f>
        <v/>
      </c>
      <c r="I24" s="218" t="str">
        <f ca="1">IF(ISERROR($V24),"",OFFSET('Smelter Look-up'!$H$4,$V24-4,0))</f>
        <v/>
      </c>
      <c r="J24" s="218" t="str">
        <f ca="1">IF(ISERROR($V24),"",OFFSET('Smelter Look-up'!$I$4,$V24-4,0))</f>
        <v/>
      </c>
      <c r="K24" s="267"/>
      <c r="L24" s="267"/>
      <c r="M24" s="267"/>
      <c r="N24" s="267"/>
      <c r="O24" s="267"/>
      <c r="P24" s="219"/>
      <c r="Q24" s="268"/>
      <c r="R24" s="216" t="str">
        <f ca="1">IF(ISERROR($V24),"",OFFSET('Smelter Look-up'!$C$4,$V24-4,0)&amp;"")</f>
        <v/>
      </c>
      <c r="S24" s="224" t="str">
        <f t="shared" ca="1" si="0"/>
        <v/>
      </c>
      <c r="T24" s="224" t="str">
        <f ca="1">IF(B24="","",IF(ISERROR(MATCH($J24,SorP!$B$1:$B$6230,0)),"",INDIRECT("'SorP'!$A$"&amp;MATCH($J24,SorP!$B$1:$B$6230,0))))</f>
        <v/>
      </c>
      <c r="U24" s="239"/>
      <c r="V24" s="269" t="e">
        <f>IF(C24="",NA(),MATCH($B24&amp;$C24,'Smelter Look-up'!$J:$J,0))</f>
        <v>#N/A</v>
      </c>
      <c r="W24" s="270"/>
      <c r="X24" s="270">
        <f t="shared" ca="1" si="1"/>
        <v>0</v>
      </c>
      <c r="Y24" s="270"/>
      <c r="Z24" s="270"/>
      <c r="AB24" s="272" t="str">
        <f t="shared" si="2"/>
        <v/>
      </c>
    </row>
    <row r="25" spans="1:28" s="271" customFormat="1" ht="20.25">
      <c r="A25" s="215"/>
      <c r="B25" s="216" t="str">
        <f>IF(LEN(A25)=0,"",INDEX('Smelter Look-up'!$A:$A,MATCH($A25,'Smelter Look-up'!$E:$E,0)))</f>
        <v/>
      </c>
      <c r="C25" s="220" t="str">
        <f>IF(LEN(A25)=0,"",INDEX('Smelter Look-up'!$C:$C,MATCH($A25,'Smelter Look-up'!$E:$E,0)))</f>
        <v/>
      </c>
      <c r="D25" s="216"/>
      <c r="E25" s="216" t="str">
        <f ca="1">IF(ISERROR($V25),"",OFFSET('Smelter Look-up'!$D$4,$V25-4,0)&amp;"")</f>
        <v/>
      </c>
      <c r="F25" s="216" t="str">
        <f ca="1">IF(ISERROR($V25),"",OFFSET('Smelter Look-up'!$E$4,$V25-4,0))</f>
        <v/>
      </c>
      <c r="G25" s="216" t="str">
        <f ca="1">IF(C25=$X$4,"Enter smelter details", IF(ISERROR($V25),"",OFFSET('Smelter Look-up'!$F$4,$V25-4,0)))</f>
        <v/>
      </c>
      <c r="H25" s="217" t="str">
        <f ca="1">IF(ISERROR($V25),"",OFFSET('Smelter Look-up'!$G$4,$V25-4,0))</f>
        <v/>
      </c>
      <c r="I25" s="218" t="str">
        <f ca="1">IF(ISERROR($V25),"",OFFSET('Smelter Look-up'!$H$4,$V25-4,0))</f>
        <v/>
      </c>
      <c r="J25" s="218" t="str">
        <f ca="1">IF(ISERROR($V25),"",OFFSET('Smelter Look-up'!$I$4,$V25-4,0))</f>
        <v/>
      </c>
      <c r="K25" s="267"/>
      <c r="L25" s="267"/>
      <c r="M25" s="267"/>
      <c r="N25" s="267"/>
      <c r="O25" s="267"/>
      <c r="P25" s="219"/>
      <c r="Q25" s="268"/>
      <c r="R25" s="216" t="str">
        <f ca="1">IF(ISERROR($V25),"",OFFSET('Smelter Look-up'!$C$4,$V25-4,0)&amp;"")</f>
        <v/>
      </c>
      <c r="S25" s="224" t="str">
        <f t="shared" ca="1" si="0"/>
        <v/>
      </c>
      <c r="T25" s="224" t="str">
        <f ca="1">IF(B25="","",IF(ISERROR(MATCH($J25,SorP!$B$1:$B$6230,0)),"",INDIRECT("'SorP'!$A$"&amp;MATCH($J25,SorP!$B$1:$B$6230,0))))</f>
        <v/>
      </c>
      <c r="U25" s="239"/>
      <c r="V25" s="269" t="e">
        <f>IF(C25="",NA(),MATCH($B25&amp;$C25,'Smelter Look-up'!$J:$J,0))</f>
        <v>#N/A</v>
      </c>
      <c r="W25" s="270"/>
      <c r="X25" s="270">
        <f t="shared" ca="1" si="1"/>
        <v>0</v>
      </c>
      <c r="Y25" s="270"/>
      <c r="Z25" s="270"/>
      <c r="AB25" s="272" t="str">
        <f t="shared" si="2"/>
        <v/>
      </c>
    </row>
    <row r="26" spans="1:28" s="271" customFormat="1" ht="20.25">
      <c r="A26" s="215"/>
      <c r="B26" s="216" t="str">
        <f>IF(LEN(A26)=0,"",INDEX('Smelter Look-up'!$A:$A,MATCH($A26,'Smelter Look-up'!$E:$E,0)))</f>
        <v/>
      </c>
      <c r="C26" s="220" t="str">
        <f>IF(LEN(A26)=0,"",INDEX('Smelter Look-up'!$C:$C,MATCH($A26,'Smelter Look-up'!$E:$E,0)))</f>
        <v/>
      </c>
      <c r="D26" s="216"/>
      <c r="E26" s="216" t="str">
        <f ca="1">IF(ISERROR($V26),"",OFFSET('Smelter Look-up'!$D$4,$V26-4,0)&amp;"")</f>
        <v/>
      </c>
      <c r="F26" s="216" t="str">
        <f ca="1">IF(ISERROR($V26),"",OFFSET('Smelter Look-up'!$E$4,$V26-4,0))</f>
        <v/>
      </c>
      <c r="G26" s="216" t="str">
        <f ca="1">IF(C26=$X$4,"Enter smelter details", IF(ISERROR($V26),"",OFFSET('Smelter Look-up'!$F$4,$V26-4,0)))</f>
        <v/>
      </c>
      <c r="H26" s="217" t="str">
        <f ca="1">IF(ISERROR($V26),"",OFFSET('Smelter Look-up'!$G$4,$V26-4,0))</f>
        <v/>
      </c>
      <c r="I26" s="218" t="str">
        <f ca="1">IF(ISERROR($V26),"",OFFSET('Smelter Look-up'!$H$4,$V26-4,0))</f>
        <v/>
      </c>
      <c r="J26" s="218" t="str">
        <f ca="1">IF(ISERROR($V26),"",OFFSET('Smelter Look-up'!$I$4,$V26-4,0))</f>
        <v/>
      </c>
      <c r="K26" s="267"/>
      <c r="L26" s="267"/>
      <c r="M26" s="267"/>
      <c r="N26" s="267"/>
      <c r="O26" s="267"/>
      <c r="P26" s="219"/>
      <c r="Q26" s="268"/>
      <c r="R26" s="216" t="str">
        <f ca="1">IF(ISERROR($V26),"",OFFSET('Smelter Look-up'!$C$4,$V26-4,0)&amp;"")</f>
        <v/>
      </c>
      <c r="S26" s="224" t="str">
        <f t="shared" ca="1" si="0"/>
        <v/>
      </c>
      <c r="T26" s="224" t="str">
        <f ca="1">IF(B26="","",IF(ISERROR(MATCH($J26,SorP!$B$1:$B$6230,0)),"",INDIRECT("'SorP'!$A$"&amp;MATCH($J26,SorP!$B$1:$B$6230,0))))</f>
        <v/>
      </c>
      <c r="U26" s="239"/>
      <c r="V26" s="269" t="e">
        <f>IF(C26="",NA(),MATCH($B26&amp;$C26,'Smelter Look-up'!$J:$J,0))</f>
        <v>#N/A</v>
      </c>
      <c r="W26" s="270"/>
      <c r="X26" s="270">
        <f t="shared" ca="1" si="1"/>
        <v>0</v>
      </c>
      <c r="Y26" s="270"/>
      <c r="Z26" s="270"/>
      <c r="AB26" s="272" t="str">
        <f t="shared" si="2"/>
        <v/>
      </c>
    </row>
    <row r="27" spans="1:28" s="271" customFormat="1" ht="20.25">
      <c r="A27" s="215"/>
      <c r="B27" s="216" t="str">
        <f>IF(LEN(A27)=0,"",INDEX('Smelter Look-up'!$A:$A,MATCH($A27,'Smelter Look-up'!$E:$E,0)))</f>
        <v/>
      </c>
      <c r="C27" s="220" t="str">
        <f>IF(LEN(A27)=0,"",INDEX('Smelter Look-up'!$C:$C,MATCH($A27,'Smelter Look-up'!$E:$E,0)))</f>
        <v/>
      </c>
      <c r="D27" s="216"/>
      <c r="E27" s="216" t="str">
        <f ca="1">IF(ISERROR($V27),"",OFFSET('Smelter Look-up'!$D$4,$V27-4,0)&amp;"")</f>
        <v/>
      </c>
      <c r="F27" s="216" t="str">
        <f ca="1">IF(ISERROR($V27),"",OFFSET('Smelter Look-up'!$E$4,$V27-4,0))</f>
        <v/>
      </c>
      <c r="G27" s="216" t="str">
        <f ca="1">IF(C27=$X$4,"Enter smelter details", IF(ISERROR($V27),"",OFFSET('Smelter Look-up'!$F$4,$V27-4,0)))</f>
        <v/>
      </c>
      <c r="H27" s="217" t="str">
        <f ca="1">IF(ISERROR($V27),"",OFFSET('Smelter Look-up'!$G$4,$V27-4,0))</f>
        <v/>
      </c>
      <c r="I27" s="218" t="str">
        <f ca="1">IF(ISERROR($V27),"",OFFSET('Smelter Look-up'!$H$4,$V27-4,0))</f>
        <v/>
      </c>
      <c r="J27" s="218" t="str">
        <f ca="1">IF(ISERROR($V27),"",OFFSET('Smelter Look-up'!$I$4,$V27-4,0))</f>
        <v/>
      </c>
      <c r="K27" s="267"/>
      <c r="L27" s="267"/>
      <c r="M27" s="267"/>
      <c r="N27" s="267"/>
      <c r="O27" s="267"/>
      <c r="P27" s="219"/>
      <c r="Q27" s="268"/>
      <c r="R27" s="216" t="str">
        <f ca="1">IF(ISERROR($V27),"",OFFSET('Smelter Look-up'!$C$4,$V27-4,0)&amp;"")</f>
        <v/>
      </c>
      <c r="S27" s="224" t="str">
        <f t="shared" ca="1" si="0"/>
        <v/>
      </c>
      <c r="T27" s="224" t="str">
        <f ca="1">IF(B27="","",IF(ISERROR(MATCH($J27,SorP!$B$1:$B$6230,0)),"",INDIRECT("'SorP'!$A$"&amp;MATCH($J27,SorP!$B$1:$B$6230,0))))</f>
        <v/>
      </c>
      <c r="U27" s="239"/>
      <c r="V27" s="269" t="e">
        <f>IF(C27="",NA(),MATCH($B27&amp;$C27,'Smelter Look-up'!$J:$J,0))</f>
        <v>#N/A</v>
      </c>
      <c r="W27" s="270"/>
      <c r="X27" s="270">
        <f t="shared" ca="1" si="1"/>
        <v>0</v>
      </c>
      <c r="Y27" s="270"/>
      <c r="Z27" s="270"/>
      <c r="AB27" s="272" t="str">
        <f t="shared" si="2"/>
        <v/>
      </c>
    </row>
    <row r="28" spans="1:28" s="271" customFormat="1" ht="20.25">
      <c r="A28" s="215"/>
      <c r="B28" s="216" t="str">
        <f>IF(LEN(A28)=0,"",INDEX('Smelter Look-up'!$A:$A,MATCH($A28,'Smelter Look-up'!$E:$E,0)))</f>
        <v/>
      </c>
      <c r="C28" s="220" t="str">
        <f>IF(LEN(A28)=0,"",INDEX('Smelter Look-up'!$C:$C,MATCH($A28,'Smelter Look-up'!$E:$E,0)))</f>
        <v/>
      </c>
      <c r="D28" s="216"/>
      <c r="E28" s="216" t="str">
        <f ca="1">IF(ISERROR($V28),"",OFFSET('Smelter Look-up'!$D$4,$V28-4,0)&amp;"")</f>
        <v/>
      </c>
      <c r="F28" s="216" t="str">
        <f ca="1">IF(ISERROR($V28),"",OFFSET('Smelter Look-up'!$E$4,$V28-4,0))</f>
        <v/>
      </c>
      <c r="G28" s="216" t="str">
        <f ca="1">IF(C28=$X$4,"Enter smelter details", IF(ISERROR($V28),"",OFFSET('Smelter Look-up'!$F$4,$V28-4,0)))</f>
        <v/>
      </c>
      <c r="H28" s="217" t="str">
        <f ca="1">IF(ISERROR($V28),"",OFFSET('Smelter Look-up'!$G$4,$V28-4,0))</f>
        <v/>
      </c>
      <c r="I28" s="218" t="str">
        <f ca="1">IF(ISERROR($V28),"",OFFSET('Smelter Look-up'!$H$4,$V28-4,0))</f>
        <v/>
      </c>
      <c r="J28" s="218" t="str">
        <f ca="1">IF(ISERROR($V28),"",OFFSET('Smelter Look-up'!$I$4,$V28-4,0))</f>
        <v/>
      </c>
      <c r="K28" s="267"/>
      <c r="L28" s="267"/>
      <c r="M28" s="267"/>
      <c r="N28" s="267"/>
      <c r="O28" s="267"/>
      <c r="P28" s="219"/>
      <c r="Q28" s="268"/>
      <c r="R28" s="216" t="str">
        <f ca="1">IF(ISERROR($V28),"",OFFSET('Smelter Look-up'!$C$4,$V28-4,0)&amp;"")</f>
        <v/>
      </c>
      <c r="S28" s="224" t="str">
        <f t="shared" ca="1" si="0"/>
        <v/>
      </c>
      <c r="T28" s="224" t="str">
        <f ca="1">IF(B28="","",IF(ISERROR(MATCH($J28,SorP!$B$1:$B$6230,0)),"",INDIRECT("'SorP'!$A$"&amp;MATCH($J28,SorP!$B$1:$B$6230,0))))</f>
        <v/>
      </c>
      <c r="U28" s="239"/>
      <c r="V28" s="269" t="e">
        <f>IF(C28="",NA(),MATCH($B28&amp;$C28,'Smelter Look-up'!$J:$J,0))</f>
        <v>#N/A</v>
      </c>
      <c r="W28" s="270"/>
      <c r="X28" s="270">
        <f t="shared" ca="1" si="1"/>
        <v>0</v>
      </c>
      <c r="Y28" s="270"/>
      <c r="Z28" s="270"/>
      <c r="AB28" s="272" t="str">
        <f t="shared" si="2"/>
        <v/>
      </c>
    </row>
    <row r="29" spans="1:28" s="271" customFormat="1" ht="20.25">
      <c r="A29" s="215"/>
      <c r="B29" s="216" t="str">
        <f>IF(LEN(A29)=0,"",INDEX('Smelter Look-up'!$A:$A,MATCH($A29,'Smelter Look-up'!$E:$E,0)))</f>
        <v/>
      </c>
      <c r="C29" s="220" t="str">
        <f>IF(LEN(A29)=0,"",INDEX('Smelter Look-up'!$C:$C,MATCH($A29,'Smelter Look-up'!$E:$E,0)))</f>
        <v/>
      </c>
      <c r="D29" s="216"/>
      <c r="E29" s="216" t="str">
        <f ca="1">IF(ISERROR($V29),"",OFFSET('Smelter Look-up'!$D$4,$V29-4,0)&amp;"")</f>
        <v/>
      </c>
      <c r="F29" s="216" t="str">
        <f ca="1">IF(ISERROR($V29),"",OFFSET('Smelter Look-up'!$E$4,$V29-4,0))</f>
        <v/>
      </c>
      <c r="G29" s="216" t="str">
        <f ca="1">IF(C29=$X$4,"Enter smelter details", IF(ISERROR($V29),"",OFFSET('Smelter Look-up'!$F$4,$V29-4,0)))</f>
        <v/>
      </c>
      <c r="H29" s="217" t="str">
        <f ca="1">IF(ISERROR($V29),"",OFFSET('Smelter Look-up'!$G$4,$V29-4,0))</f>
        <v/>
      </c>
      <c r="I29" s="218" t="str">
        <f ca="1">IF(ISERROR($V29),"",OFFSET('Smelter Look-up'!$H$4,$V29-4,0))</f>
        <v/>
      </c>
      <c r="J29" s="218" t="str">
        <f ca="1">IF(ISERROR($V29),"",OFFSET('Smelter Look-up'!$I$4,$V29-4,0))</f>
        <v/>
      </c>
      <c r="K29" s="267"/>
      <c r="L29" s="267"/>
      <c r="M29" s="267"/>
      <c r="N29" s="267"/>
      <c r="O29" s="267"/>
      <c r="P29" s="219"/>
      <c r="Q29" s="268"/>
      <c r="R29" s="216" t="str">
        <f ca="1">IF(ISERROR($V29),"",OFFSET('Smelter Look-up'!$C$4,$V29-4,0)&amp;"")</f>
        <v/>
      </c>
      <c r="S29" s="224" t="str">
        <f t="shared" ca="1" si="0"/>
        <v/>
      </c>
      <c r="T29" s="224" t="str">
        <f ca="1">IF(B29="","",IF(ISERROR(MATCH($J29,SorP!$B$1:$B$6230,0)),"",INDIRECT("'SorP'!$A$"&amp;MATCH($J29,SorP!$B$1:$B$6230,0))))</f>
        <v/>
      </c>
      <c r="U29" s="239"/>
      <c r="V29" s="269" t="e">
        <f>IF(C29="",NA(),MATCH($B29&amp;$C29,'Smelter Look-up'!$J:$J,0))</f>
        <v>#N/A</v>
      </c>
      <c r="W29" s="270"/>
      <c r="X29" s="270">
        <f t="shared" ca="1" si="1"/>
        <v>0</v>
      </c>
      <c r="Y29" s="270"/>
      <c r="Z29" s="270"/>
      <c r="AB29" s="272" t="str">
        <f t="shared" si="2"/>
        <v/>
      </c>
    </row>
    <row r="30" spans="1:28" s="271" customFormat="1" ht="20.25">
      <c r="A30" s="215"/>
      <c r="B30" s="216" t="str">
        <f>IF(LEN(A30)=0,"",INDEX('Smelter Look-up'!$A:$A,MATCH($A30,'Smelter Look-up'!$E:$E,0)))</f>
        <v/>
      </c>
      <c r="C30" s="220" t="str">
        <f>IF(LEN(A30)=0,"",INDEX('Smelter Look-up'!$C:$C,MATCH($A30,'Smelter Look-up'!$E:$E,0)))</f>
        <v/>
      </c>
      <c r="D30" s="216"/>
      <c r="E30" s="216" t="str">
        <f ca="1">IF(ISERROR($V30),"",OFFSET('Smelter Look-up'!$D$4,$V30-4,0)&amp;"")</f>
        <v/>
      </c>
      <c r="F30" s="216" t="str">
        <f ca="1">IF(ISERROR($V30),"",OFFSET('Smelter Look-up'!$E$4,$V30-4,0))</f>
        <v/>
      </c>
      <c r="G30" s="216" t="str">
        <f ca="1">IF(C30=$X$4,"Enter smelter details", IF(ISERROR($V30),"",OFFSET('Smelter Look-up'!$F$4,$V30-4,0)))</f>
        <v/>
      </c>
      <c r="H30" s="217" t="str">
        <f ca="1">IF(ISERROR($V30),"",OFFSET('Smelter Look-up'!$G$4,$V30-4,0))</f>
        <v/>
      </c>
      <c r="I30" s="218" t="str">
        <f ca="1">IF(ISERROR($V30),"",OFFSET('Smelter Look-up'!$H$4,$V30-4,0))</f>
        <v/>
      </c>
      <c r="J30" s="218" t="str">
        <f ca="1">IF(ISERROR($V30),"",OFFSET('Smelter Look-up'!$I$4,$V30-4,0))</f>
        <v/>
      </c>
      <c r="K30" s="267"/>
      <c r="L30" s="267"/>
      <c r="M30" s="267"/>
      <c r="N30" s="267"/>
      <c r="O30" s="267"/>
      <c r="P30" s="219"/>
      <c r="Q30" s="268"/>
      <c r="R30" s="216" t="str">
        <f ca="1">IF(ISERROR($V30),"",OFFSET('Smelter Look-up'!$C$4,$V30-4,0)&amp;"")</f>
        <v/>
      </c>
      <c r="S30" s="224" t="str">
        <f t="shared" ca="1" si="0"/>
        <v/>
      </c>
      <c r="T30" s="224" t="str">
        <f ca="1">IF(B30="","",IF(ISERROR(MATCH($J30,SorP!$B$1:$B$6230,0)),"",INDIRECT("'SorP'!$A$"&amp;MATCH($J30,SorP!$B$1:$B$6230,0))))</f>
        <v/>
      </c>
      <c r="U30" s="239"/>
      <c r="V30" s="269" t="e">
        <f>IF(C30="",NA(),MATCH($B30&amp;$C30,'Smelter Look-up'!$J:$J,0))</f>
        <v>#N/A</v>
      </c>
      <c r="W30" s="270"/>
      <c r="X30" s="270">
        <f t="shared" ca="1" si="1"/>
        <v>0</v>
      </c>
      <c r="Y30" s="270"/>
      <c r="Z30" s="270"/>
      <c r="AB30" s="272" t="str">
        <f t="shared" si="2"/>
        <v/>
      </c>
    </row>
    <row r="31" spans="1:28" s="271" customFormat="1" ht="20.25">
      <c r="A31" s="215"/>
      <c r="B31" s="216" t="str">
        <f>IF(LEN(A31)=0,"",INDEX('Smelter Look-up'!$A:$A,MATCH($A31,'Smelter Look-up'!$E:$E,0)))</f>
        <v/>
      </c>
      <c r="C31" s="220" t="str">
        <f>IF(LEN(A31)=0,"",INDEX('Smelter Look-up'!$C:$C,MATCH($A31,'Smelter Look-up'!$E:$E,0)))</f>
        <v/>
      </c>
      <c r="D31" s="216"/>
      <c r="E31" s="216" t="str">
        <f ca="1">IF(ISERROR($V31),"",OFFSET('Smelter Look-up'!$D$4,$V31-4,0)&amp;"")</f>
        <v/>
      </c>
      <c r="F31" s="216" t="str">
        <f ca="1">IF(ISERROR($V31),"",OFFSET('Smelter Look-up'!$E$4,$V31-4,0))</f>
        <v/>
      </c>
      <c r="G31" s="216" t="str">
        <f ca="1">IF(C31=$X$4,"Enter smelter details", IF(ISERROR($V31),"",OFFSET('Smelter Look-up'!$F$4,$V31-4,0)))</f>
        <v/>
      </c>
      <c r="H31" s="217" t="str">
        <f ca="1">IF(ISERROR($V31),"",OFFSET('Smelter Look-up'!$G$4,$V31-4,0))</f>
        <v/>
      </c>
      <c r="I31" s="218" t="str">
        <f ca="1">IF(ISERROR($V31),"",OFFSET('Smelter Look-up'!$H$4,$V31-4,0))</f>
        <v/>
      </c>
      <c r="J31" s="218" t="str">
        <f ca="1">IF(ISERROR($V31),"",OFFSET('Smelter Look-up'!$I$4,$V31-4,0))</f>
        <v/>
      </c>
      <c r="K31" s="267"/>
      <c r="L31" s="267"/>
      <c r="M31" s="267"/>
      <c r="N31" s="267"/>
      <c r="O31" s="267"/>
      <c r="P31" s="219"/>
      <c r="Q31" s="268"/>
      <c r="R31" s="216" t="str">
        <f ca="1">IF(ISERROR($V31),"",OFFSET('Smelter Look-up'!$C$4,$V31-4,0)&amp;"")</f>
        <v/>
      </c>
      <c r="S31" s="224" t="str">
        <f t="shared" ca="1" si="0"/>
        <v/>
      </c>
      <c r="T31" s="224" t="str">
        <f ca="1">IF(B31="","",IF(ISERROR(MATCH($J31,SorP!$B$1:$B$6230,0)),"",INDIRECT("'SorP'!$A$"&amp;MATCH($J31,SorP!$B$1:$B$6230,0))))</f>
        <v/>
      </c>
      <c r="U31" s="239"/>
      <c r="V31" s="269" t="e">
        <f>IF(C31="",NA(),MATCH($B31&amp;$C31,'Smelter Look-up'!$J:$J,0))</f>
        <v>#N/A</v>
      </c>
      <c r="W31" s="270"/>
      <c r="X31" s="270">
        <f t="shared" ca="1" si="1"/>
        <v>0</v>
      </c>
      <c r="Y31" s="270"/>
      <c r="Z31" s="270"/>
      <c r="AB31" s="272" t="str">
        <f t="shared" si="2"/>
        <v/>
      </c>
    </row>
    <row r="32" spans="1:28" s="271" customFormat="1" ht="20.25">
      <c r="A32" s="215"/>
      <c r="B32" s="216" t="str">
        <f>IF(LEN(A32)=0,"",INDEX('Smelter Look-up'!$A:$A,MATCH($A32,'Smelter Look-up'!$E:$E,0)))</f>
        <v/>
      </c>
      <c r="C32" s="220" t="str">
        <f>IF(LEN(A32)=0,"",INDEX('Smelter Look-up'!$C:$C,MATCH($A32,'Smelter Look-up'!$E:$E,0)))</f>
        <v/>
      </c>
      <c r="D32" s="216"/>
      <c r="E32" s="216" t="str">
        <f ca="1">IF(ISERROR($V32),"",OFFSET('Smelter Look-up'!$D$4,$V32-4,0)&amp;"")</f>
        <v/>
      </c>
      <c r="F32" s="216" t="str">
        <f ca="1">IF(ISERROR($V32),"",OFFSET('Smelter Look-up'!$E$4,$V32-4,0))</f>
        <v/>
      </c>
      <c r="G32" s="216" t="str">
        <f ca="1">IF(C32=$X$4,"Enter smelter details", IF(ISERROR($V32),"",OFFSET('Smelter Look-up'!$F$4,$V32-4,0)))</f>
        <v/>
      </c>
      <c r="H32" s="217" t="str">
        <f ca="1">IF(ISERROR($V32),"",OFFSET('Smelter Look-up'!$G$4,$V32-4,0))</f>
        <v/>
      </c>
      <c r="I32" s="218" t="str">
        <f ca="1">IF(ISERROR($V32),"",OFFSET('Smelter Look-up'!$H$4,$V32-4,0))</f>
        <v/>
      </c>
      <c r="J32" s="218" t="str">
        <f ca="1">IF(ISERROR($V32),"",OFFSET('Smelter Look-up'!$I$4,$V32-4,0))</f>
        <v/>
      </c>
      <c r="K32" s="267"/>
      <c r="L32" s="267"/>
      <c r="M32" s="267"/>
      <c r="N32" s="267"/>
      <c r="O32" s="267"/>
      <c r="P32" s="219"/>
      <c r="Q32" s="268"/>
      <c r="R32" s="216" t="str">
        <f ca="1">IF(ISERROR($V32),"",OFFSET('Smelter Look-up'!$C$4,$V32-4,0)&amp;"")</f>
        <v/>
      </c>
      <c r="S32" s="224" t="str">
        <f t="shared" ca="1" si="0"/>
        <v/>
      </c>
      <c r="T32" s="224" t="str">
        <f ca="1">IF(B32="","",IF(ISERROR(MATCH($J32,SorP!$B$1:$B$6230,0)),"",INDIRECT("'SorP'!$A$"&amp;MATCH($J32,SorP!$B$1:$B$6230,0))))</f>
        <v/>
      </c>
      <c r="U32" s="239"/>
      <c r="V32" s="269" t="e">
        <f>IF(C32="",NA(),MATCH($B32&amp;$C32,'Smelter Look-up'!$J:$J,0))</f>
        <v>#N/A</v>
      </c>
      <c r="W32" s="270"/>
      <c r="X32" s="270">
        <f t="shared" ca="1" si="1"/>
        <v>0</v>
      </c>
      <c r="Y32" s="270"/>
      <c r="Z32" s="270"/>
      <c r="AB32" s="272" t="str">
        <f t="shared" si="2"/>
        <v/>
      </c>
    </row>
    <row r="33" spans="1:28" s="271" customFormat="1" ht="20.25">
      <c r="A33" s="215"/>
      <c r="B33" s="216" t="str">
        <f>IF(LEN(A33)=0,"",INDEX('Smelter Look-up'!$A:$A,MATCH($A33,'Smelter Look-up'!$E:$E,0)))</f>
        <v/>
      </c>
      <c r="C33" s="220" t="str">
        <f>IF(LEN(A33)=0,"",INDEX('Smelter Look-up'!$C:$C,MATCH($A33,'Smelter Look-up'!$E:$E,0)))</f>
        <v/>
      </c>
      <c r="D33" s="216"/>
      <c r="E33" s="216" t="str">
        <f ca="1">IF(ISERROR($V33),"",OFFSET('Smelter Look-up'!$D$4,$V33-4,0)&amp;"")</f>
        <v/>
      </c>
      <c r="F33" s="216" t="str">
        <f ca="1">IF(ISERROR($V33),"",OFFSET('Smelter Look-up'!$E$4,$V33-4,0))</f>
        <v/>
      </c>
      <c r="G33" s="216" t="str">
        <f ca="1">IF(C33=$X$4,"Enter smelter details", IF(ISERROR($V33),"",OFFSET('Smelter Look-up'!$F$4,$V33-4,0)))</f>
        <v/>
      </c>
      <c r="H33" s="217" t="str">
        <f ca="1">IF(ISERROR($V33),"",OFFSET('Smelter Look-up'!$G$4,$V33-4,0))</f>
        <v/>
      </c>
      <c r="I33" s="218" t="str">
        <f ca="1">IF(ISERROR($V33),"",OFFSET('Smelter Look-up'!$H$4,$V33-4,0))</f>
        <v/>
      </c>
      <c r="J33" s="218" t="str">
        <f ca="1">IF(ISERROR($V33),"",OFFSET('Smelter Look-up'!$I$4,$V33-4,0))</f>
        <v/>
      </c>
      <c r="K33" s="267"/>
      <c r="L33" s="267"/>
      <c r="M33" s="267"/>
      <c r="N33" s="267"/>
      <c r="O33" s="267"/>
      <c r="P33" s="219"/>
      <c r="Q33" s="268"/>
      <c r="R33" s="216" t="str">
        <f ca="1">IF(ISERROR($V33),"",OFFSET('Smelter Look-up'!$C$4,$V33-4,0)&amp;"")</f>
        <v/>
      </c>
      <c r="S33" s="224" t="str">
        <f t="shared" ca="1" si="0"/>
        <v/>
      </c>
      <c r="T33" s="224" t="str">
        <f ca="1">IF(B33="","",IF(ISERROR(MATCH($J33,SorP!$B$1:$B$6230,0)),"",INDIRECT("'SorP'!$A$"&amp;MATCH($J33,SorP!$B$1:$B$6230,0))))</f>
        <v/>
      </c>
      <c r="U33" s="239"/>
      <c r="V33" s="269" t="e">
        <f>IF(C33="",NA(),MATCH($B33&amp;$C33,'Smelter Look-up'!$J:$J,0))</f>
        <v>#N/A</v>
      </c>
      <c r="W33" s="270"/>
      <c r="X33" s="270">
        <f t="shared" ca="1" si="1"/>
        <v>0</v>
      </c>
      <c r="Y33" s="270"/>
      <c r="Z33" s="270"/>
      <c r="AB33" s="272" t="str">
        <f t="shared" si="2"/>
        <v/>
      </c>
    </row>
    <row r="34" spans="1:28" s="271" customFormat="1" ht="20.25">
      <c r="A34" s="215"/>
      <c r="B34" s="216" t="str">
        <f>IF(LEN(A34)=0,"",INDEX('Smelter Look-up'!$A:$A,MATCH($A34,'Smelter Look-up'!$E:$E,0)))</f>
        <v/>
      </c>
      <c r="C34" s="220" t="str">
        <f>IF(LEN(A34)=0,"",INDEX('Smelter Look-up'!$C:$C,MATCH($A34,'Smelter Look-up'!$E:$E,0)))</f>
        <v/>
      </c>
      <c r="D34" s="216"/>
      <c r="E34" s="216" t="str">
        <f ca="1">IF(ISERROR($V34),"",OFFSET('Smelter Look-up'!$D$4,$V34-4,0)&amp;"")</f>
        <v/>
      </c>
      <c r="F34" s="216" t="str">
        <f ca="1">IF(ISERROR($V34),"",OFFSET('Smelter Look-up'!$E$4,$V34-4,0))</f>
        <v/>
      </c>
      <c r="G34" s="216" t="str">
        <f ca="1">IF(C34=$X$4,"Enter smelter details", IF(ISERROR($V34),"",OFFSET('Smelter Look-up'!$F$4,$V34-4,0)))</f>
        <v/>
      </c>
      <c r="H34" s="217" t="str">
        <f ca="1">IF(ISERROR($V34),"",OFFSET('Smelter Look-up'!$G$4,$V34-4,0))</f>
        <v/>
      </c>
      <c r="I34" s="218" t="str">
        <f ca="1">IF(ISERROR($V34),"",OFFSET('Smelter Look-up'!$H$4,$V34-4,0))</f>
        <v/>
      </c>
      <c r="J34" s="218" t="str">
        <f ca="1">IF(ISERROR($V34),"",OFFSET('Smelter Look-up'!$I$4,$V34-4,0))</f>
        <v/>
      </c>
      <c r="K34" s="267"/>
      <c r="L34" s="267"/>
      <c r="M34" s="267"/>
      <c r="N34" s="267"/>
      <c r="O34" s="267"/>
      <c r="P34" s="219"/>
      <c r="Q34" s="268"/>
      <c r="R34" s="216" t="str">
        <f ca="1">IF(ISERROR($V34),"",OFFSET('Smelter Look-up'!$C$4,$V34-4,0)&amp;"")</f>
        <v/>
      </c>
      <c r="S34" s="224" t="str">
        <f t="shared" ca="1" si="0"/>
        <v/>
      </c>
      <c r="T34" s="224" t="str">
        <f ca="1">IF(B34="","",IF(ISERROR(MATCH($J34,SorP!$B$1:$B$6230,0)),"",INDIRECT("'SorP'!$A$"&amp;MATCH($J34,SorP!$B$1:$B$6230,0))))</f>
        <v/>
      </c>
      <c r="U34" s="239"/>
      <c r="V34" s="269" t="e">
        <f>IF(C34="",NA(),MATCH($B34&amp;$C34,'Smelter Look-up'!$J:$J,0))</f>
        <v>#N/A</v>
      </c>
      <c r="W34" s="270"/>
      <c r="X34" s="270">
        <f t="shared" ca="1" si="1"/>
        <v>0</v>
      </c>
      <c r="Y34" s="270"/>
      <c r="Z34" s="270"/>
      <c r="AB34" s="272" t="str">
        <f t="shared" si="2"/>
        <v/>
      </c>
    </row>
    <row r="35" spans="1:28" s="271" customFormat="1" ht="20.25">
      <c r="A35" s="215"/>
      <c r="B35" s="216" t="str">
        <f>IF(LEN(A35)=0,"",INDEX('Smelter Look-up'!$A:$A,MATCH($A35,'Smelter Look-up'!$E:$E,0)))</f>
        <v/>
      </c>
      <c r="C35" s="220" t="str">
        <f>IF(LEN(A35)=0,"",INDEX('Smelter Look-up'!$C:$C,MATCH($A35,'Smelter Look-up'!$E:$E,0)))</f>
        <v/>
      </c>
      <c r="D35" s="216"/>
      <c r="E35" s="216" t="str">
        <f ca="1">IF(ISERROR($V35),"",OFFSET('Smelter Look-up'!$D$4,$V35-4,0)&amp;"")</f>
        <v/>
      </c>
      <c r="F35" s="216" t="str">
        <f ca="1">IF(ISERROR($V35),"",OFFSET('Smelter Look-up'!$E$4,$V35-4,0))</f>
        <v/>
      </c>
      <c r="G35" s="216" t="str">
        <f ca="1">IF(C35=$X$4,"Enter smelter details", IF(ISERROR($V35),"",OFFSET('Smelter Look-up'!$F$4,$V35-4,0)))</f>
        <v/>
      </c>
      <c r="H35" s="217" t="str">
        <f ca="1">IF(ISERROR($V35),"",OFFSET('Smelter Look-up'!$G$4,$V35-4,0))</f>
        <v/>
      </c>
      <c r="I35" s="218" t="str">
        <f ca="1">IF(ISERROR($V35),"",OFFSET('Smelter Look-up'!$H$4,$V35-4,0))</f>
        <v/>
      </c>
      <c r="J35" s="218" t="str">
        <f ca="1">IF(ISERROR($V35),"",OFFSET('Smelter Look-up'!$I$4,$V35-4,0))</f>
        <v/>
      </c>
      <c r="K35" s="267"/>
      <c r="L35" s="267"/>
      <c r="M35" s="267"/>
      <c r="N35" s="267"/>
      <c r="O35" s="267"/>
      <c r="P35" s="219"/>
      <c r="Q35" s="268"/>
      <c r="R35" s="216" t="str">
        <f ca="1">IF(ISERROR($V35),"",OFFSET('Smelter Look-up'!$C$4,$V35-4,0)&amp;"")</f>
        <v/>
      </c>
      <c r="S35" s="224" t="str">
        <f t="shared" ca="1" si="0"/>
        <v/>
      </c>
      <c r="T35" s="224" t="str">
        <f ca="1">IF(B35="","",IF(ISERROR(MATCH($J35,SorP!$B$1:$B$6230,0)),"",INDIRECT("'SorP'!$A$"&amp;MATCH($J35,SorP!$B$1:$B$6230,0))))</f>
        <v/>
      </c>
      <c r="U35" s="239"/>
      <c r="V35" s="269" t="e">
        <f>IF(C35="",NA(),MATCH($B35&amp;$C35,'Smelter Look-up'!$J:$J,0))</f>
        <v>#N/A</v>
      </c>
      <c r="W35" s="270"/>
      <c r="X35" s="270">
        <f t="shared" ca="1" si="1"/>
        <v>0</v>
      </c>
      <c r="Y35" s="270"/>
      <c r="Z35" s="270"/>
      <c r="AB35" s="272" t="str">
        <f t="shared" si="2"/>
        <v/>
      </c>
    </row>
    <row r="36" spans="1:28" s="271" customFormat="1" ht="20.25">
      <c r="A36" s="215"/>
      <c r="B36" s="216" t="str">
        <f>IF(LEN(A36)=0,"",INDEX('Smelter Look-up'!$A:$A,MATCH($A36,'Smelter Look-up'!$E:$E,0)))</f>
        <v/>
      </c>
      <c r="C36" s="220" t="str">
        <f>IF(LEN(A36)=0,"",INDEX('Smelter Look-up'!$C:$C,MATCH($A36,'Smelter Look-up'!$E:$E,0)))</f>
        <v/>
      </c>
      <c r="D36" s="216"/>
      <c r="E36" s="216" t="str">
        <f ca="1">IF(ISERROR($V36),"",OFFSET('Smelter Look-up'!$D$4,$V36-4,0)&amp;"")</f>
        <v/>
      </c>
      <c r="F36" s="216" t="str">
        <f ca="1">IF(ISERROR($V36),"",OFFSET('Smelter Look-up'!$E$4,$V36-4,0))</f>
        <v/>
      </c>
      <c r="G36" s="216" t="str">
        <f ca="1">IF(C36=$X$4,"Enter smelter details", IF(ISERROR($V36),"",OFFSET('Smelter Look-up'!$F$4,$V36-4,0)))</f>
        <v/>
      </c>
      <c r="H36" s="217" t="str">
        <f ca="1">IF(ISERROR($V36),"",OFFSET('Smelter Look-up'!$G$4,$V36-4,0))</f>
        <v/>
      </c>
      <c r="I36" s="218" t="str">
        <f ca="1">IF(ISERROR($V36),"",OFFSET('Smelter Look-up'!$H$4,$V36-4,0))</f>
        <v/>
      </c>
      <c r="J36" s="218" t="str">
        <f ca="1">IF(ISERROR($V36),"",OFFSET('Smelter Look-up'!$I$4,$V36-4,0))</f>
        <v/>
      </c>
      <c r="K36" s="267"/>
      <c r="L36" s="267"/>
      <c r="M36" s="267"/>
      <c r="N36" s="267"/>
      <c r="O36" s="267"/>
      <c r="P36" s="219"/>
      <c r="Q36" s="268"/>
      <c r="R36" s="216" t="str">
        <f ca="1">IF(ISERROR($V36),"",OFFSET('Smelter Look-up'!$C$4,$V36-4,0)&amp;"")</f>
        <v/>
      </c>
      <c r="S36" s="224" t="str">
        <f t="shared" ca="1" si="0"/>
        <v/>
      </c>
      <c r="T36" s="224" t="str">
        <f ca="1">IF(B36="","",IF(ISERROR(MATCH($J36,SorP!$B$1:$B$6230,0)),"",INDIRECT("'SorP'!$A$"&amp;MATCH($J36,SorP!$B$1:$B$6230,0))))</f>
        <v/>
      </c>
      <c r="U36" s="239"/>
      <c r="V36" s="269" t="e">
        <f>IF(C36="",NA(),MATCH($B36&amp;$C36,'Smelter Look-up'!$J:$J,0))</f>
        <v>#N/A</v>
      </c>
      <c r="W36" s="270"/>
      <c r="X36" s="270">
        <f t="shared" ca="1" si="1"/>
        <v>0</v>
      </c>
      <c r="Y36" s="270"/>
      <c r="Z36" s="270"/>
      <c r="AB36" s="272" t="str">
        <f t="shared" si="2"/>
        <v/>
      </c>
    </row>
    <row r="37" spans="1:28" s="271" customFormat="1" ht="20.25">
      <c r="A37" s="215"/>
      <c r="B37" s="216" t="str">
        <f>IF(LEN(A37)=0,"",INDEX('Smelter Look-up'!$A:$A,MATCH($A37,'Smelter Look-up'!$E:$E,0)))</f>
        <v/>
      </c>
      <c r="C37" s="220" t="str">
        <f>IF(LEN(A37)=0,"",INDEX('Smelter Look-up'!$C:$C,MATCH($A37,'Smelter Look-up'!$E:$E,0)))</f>
        <v/>
      </c>
      <c r="D37" s="216"/>
      <c r="E37" s="216" t="str">
        <f ca="1">IF(ISERROR($V37),"",OFFSET('Smelter Look-up'!$D$4,$V37-4,0)&amp;"")</f>
        <v/>
      </c>
      <c r="F37" s="216" t="str">
        <f ca="1">IF(ISERROR($V37),"",OFFSET('Smelter Look-up'!$E$4,$V37-4,0))</f>
        <v/>
      </c>
      <c r="G37" s="216" t="str">
        <f ca="1">IF(C37=$X$4,"Enter smelter details", IF(ISERROR($V37),"",OFFSET('Smelter Look-up'!$F$4,$V37-4,0)))</f>
        <v/>
      </c>
      <c r="H37" s="217" t="str">
        <f ca="1">IF(ISERROR($V37),"",OFFSET('Smelter Look-up'!$G$4,$V37-4,0))</f>
        <v/>
      </c>
      <c r="I37" s="218" t="str">
        <f ca="1">IF(ISERROR($V37),"",OFFSET('Smelter Look-up'!$H$4,$V37-4,0))</f>
        <v/>
      </c>
      <c r="J37" s="218" t="str">
        <f ca="1">IF(ISERROR($V37),"",OFFSET('Smelter Look-up'!$I$4,$V37-4,0))</f>
        <v/>
      </c>
      <c r="K37" s="267"/>
      <c r="L37" s="267"/>
      <c r="M37" s="267"/>
      <c r="N37" s="267"/>
      <c r="O37" s="267"/>
      <c r="P37" s="219"/>
      <c r="Q37" s="268"/>
      <c r="R37" s="216" t="str">
        <f ca="1">IF(ISERROR($V37),"",OFFSET('Smelter Look-up'!$C$4,$V37-4,0)&amp;"")</f>
        <v/>
      </c>
      <c r="S37" s="224" t="str">
        <f t="shared" ca="1" si="0"/>
        <v/>
      </c>
      <c r="T37" s="224" t="str">
        <f ca="1">IF(B37="","",IF(ISERROR(MATCH($J37,SorP!$B$1:$B$6230,0)),"",INDIRECT("'SorP'!$A$"&amp;MATCH($J37,SorP!$B$1:$B$6230,0))))</f>
        <v/>
      </c>
      <c r="U37" s="239"/>
      <c r="V37" s="269" t="e">
        <f>IF(C37="",NA(),MATCH($B37&amp;$C37,'Smelter Look-up'!$J:$J,0))</f>
        <v>#N/A</v>
      </c>
      <c r="W37" s="270"/>
      <c r="X37" s="270">
        <f t="shared" ca="1" si="1"/>
        <v>0</v>
      </c>
      <c r="Y37" s="270"/>
      <c r="Z37" s="270"/>
      <c r="AB37" s="272" t="str">
        <f t="shared" si="2"/>
        <v/>
      </c>
    </row>
    <row r="38" spans="1:28" s="271" customFormat="1" ht="20.25">
      <c r="A38" s="215"/>
      <c r="B38" s="216" t="str">
        <f>IF(LEN(A38)=0,"",INDEX('Smelter Look-up'!$A:$A,MATCH($A38,'Smelter Look-up'!$E:$E,0)))</f>
        <v/>
      </c>
      <c r="C38" s="220" t="str">
        <f>IF(LEN(A38)=0,"",INDEX('Smelter Look-up'!$C:$C,MATCH($A38,'Smelter Look-up'!$E:$E,0)))</f>
        <v/>
      </c>
      <c r="D38" s="216"/>
      <c r="E38" s="216" t="str">
        <f ca="1">IF(ISERROR($V38),"",OFFSET('Smelter Look-up'!$D$4,$V38-4,0)&amp;"")</f>
        <v/>
      </c>
      <c r="F38" s="216" t="str">
        <f ca="1">IF(ISERROR($V38),"",OFFSET('Smelter Look-up'!$E$4,$V38-4,0))</f>
        <v/>
      </c>
      <c r="G38" s="216" t="str">
        <f ca="1">IF(C38=$X$4,"Enter smelter details", IF(ISERROR($V38),"",OFFSET('Smelter Look-up'!$F$4,$V38-4,0)))</f>
        <v/>
      </c>
      <c r="H38" s="217" t="str">
        <f ca="1">IF(ISERROR($V38),"",OFFSET('Smelter Look-up'!$G$4,$V38-4,0))</f>
        <v/>
      </c>
      <c r="I38" s="218" t="str">
        <f ca="1">IF(ISERROR($V38),"",OFFSET('Smelter Look-up'!$H$4,$V38-4,0))</f>
        <v/>
      </c>
      <c r="J38" s="218" t="str">
        <f ca="1">IF(ISERROR($V38),"",OFFSET('Smelter Look-up'!$I$4,$V38-4,0))</f>
        <v/>
      </c>
      <c r="K38" s="267"/>
      <c r="L38" s="267"/>
      <c r="M38" s="267"/>
      <c r="N38" s="267"/>
      <c r="O38" s="267"/>
      <c r="P38" s="219"/>
      <c r="Q38" s="268"/>
      <c r="R38" s="216" t="str">
        <f ca="1">IF(ISERROR($V38),"",OFFSET('Smelter Look-up'!$C$4,$V38-4,0)&amp;"")</f>
        <v/>
      </c>
      <c r="S38" s="224" t="str">
        <f t="shared" ca="1" si="0"/>
        <v/>
      </c>
      <c r="T38" s="224" t="str">
        <f ca="1">IF(B38="","",IF(ISERROR(MATCH($J38,SorP!$B$1:$B$6230,0)),"",INDIRECT("'SorP'!$A$"&amp;MATCH($J38,SorP!$B$1:$B$6230,0))))</f>
        <v/>
      </c>
      <c r="U38" s="239"/>
      <c r="V38" s="269" t="e">
        <f>IF(C38="",NA(),MATCH($B38&amp;$C38,'Smelter Look-up'!$J:$J,0))</f>
        <v>#N/A</v>
      </c>
      <c r="W38" s="270"/>
      <c r="X38" s="270">
        <f t="shared" ca="1" si="1"/>
        <v>0</v>
      </c>
      <c r="Y38" s="270"/>
      <c r="Z38" s="270"/>
      <c r="AB38" s="272" t="str">
        <f t="shared" si="2"/>
        <v/>
      </c>
    </row>
    <row r="39" spans="1:28" s="271" customFormat="1" ht="20.25">
      <c r="A39" s="215"/>
      <c r="B39" s="216" t="str">
        <f>IF(LEN(A39)=0,"",INDEX('Smelter Look-up'!$A:$A,MATCH($A39,'Smelter Look-up'!$E:$E,0)))</f>
        <v/>
      </c>
      <c r="C39" s="220" t="str">
        <f>IF(LEN(A39)=0,"",INDEX('Smelter Look-up'!$C:$C,MATCH($A39,'Smelter Look-up'!$E:$E,0)))</f>
        <v/>
      </c>
      <c r="D39" s="216"/>
      <c r="E39" s="216" t="str">
        <f ca="1">IF(ISERROR($V39),"",OFFSET('Smelter Look-up'!$D$4,$V39-4,0)&amp;"")</f>
        <v/>
      </c>
      <c r="F39" s="216" t="str">
        <f ca="1">IF(ISERROR($V39),"",OFFSET('Smelter Look-up'!$E$4,$V39-4,0))</f>
        <v/>
      </c>
      <c r="G39" s="216" t="str">
        <f ca="1">IF(C39=$X$4,"Enter smelter details", IF(ISERROR($V39),"",OFFSET('Smelter Look-up'!$F$4,$V39-4,0)))</f>
        <v/>
      </c>
      <c r="H39" s="217" t="str">
        <f ca="1">IF(ISERROR($V39),"",OFFSET('Smelter Look-up'!$G$4,$V39-4,0))</f>
        <v/>
      </c>
      <c r="I39" s="218" t="str">
        <f ca="1">IF(ISERROR($V39),"",OFFSET('Smelter Look-up'!$H$4,$V39-4,0))</f>
        <v/>
      </c>
      <c r="J39" s="218" t="str">
        <f ca="1">IF(ISERROR($V39),"",OFFSET('Smelter Look-up'!$I$4,$V39-4,0))</f>
        <v/>
      </c>
      <c r="K39" s="267"/>
      <c r="L39" s="267"/>
      <c r="M39" s="267"/>
      <c r="N39" s="267"/>
      <c r="O39" s="267"/>
      <c r="P39" s="219"/>
      <c r="Q39" s="268"/>
      <c r="R39" s="216" t="str">
        <f ca="1">IF(ISERROR($V39),"",OFFSET('Smelter Look-up'!$C$4,$V39-4,0)&amp;"")</f>
        <v/>
      </c>
      <c r="S39" s="224" t="str">
        <f t="shared" ca="1" si="0"/>
        <v/>
      </c>
      <c r="T39" s="224" t="str">
        <f ca="1">IF(B39="","",IF(ISERROR(MATCH($J39,SorP!$B$1:$B$6230,0)),"",INDIRECT("'SorP'!$A$"&amp;MATCH($J39,SorP!$B$1:$B$6230,0))))</f>
        <v/>
      </c>
      <c r="U39" s="239"/>
      <c r="V39" s="269" t="e">
        <f>IF(C39="",NA(),MATCH($B39&amp;$C39,'Smelter Look-up'!$J:$J,0))</f>
        <v>#N/A</v>
      </c>
      <c r="W39" s="270"/>
      <c r="X39" s="270">
        <f t="shared" ca="1" si="1"/>
        <v>0</v>
      </c>
      <c r="Y39" s="270"/>
      <c r="Z39" s="270"/>
      <c r="AB39" s="272" t="str">
        <f t="shared" si="2"/>
        <v/>
      </c>
    </row>
    <row r="40" spans="1:28" s="271" customFormat="1" ht="20.25">
      <c r="A40" s="215"/>
      <c r="B40" s="216" t="str">
        <f>IF(LEN(A40)=0,"",INDEX('Smelter Look-up'!$A:$A,MATCH($A40,'Smelter Look-up'!$E:$E,0)))</f>
        <v/>
      </c>
      <c r="C40" s="220" t="str">
        <f>IF(LEN(A40)=0,"",INDEX('Smelter Look-up'!$C:$C,MATCH($A40,'Smelter Look-up'!$E:$E,0)))</f>
        <v/>
      </c>
      <c r="D40" s="216"/>
      <c r="E40" s="216" t="str">
        <f ca="1">IF(ISERROR($V40),"",OFFSET('Smelter Look-up'!$D$4,$V40-4,0)&amp;"")</f>
        <v/>
      </c>
      <c r="F40" s="216" t="str">
        <f ca="1">IF(ISERROR($V40),"",OFFSET('Smelter Look-up'!$E$4,$V40-4,0))</f>
        <v/>
      </c>
      <c r="G40" s="216" t="str">
        <f ca="1">IF(C40=$X$4,"Enter smelter details", IF(ISERROR($V40),"",OFFSET('Smelter Look-up'!$F$4,$V40-4,0)))</f>
        <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0"/>
        <v/>
      </c>
      <c r="T40" s="224" t="str">
        <f ca="1">IF(B40="","",IF(ISERROR(MATCH($J40,SorP!$B$1:$B$6230,0)),"",INDIRECT("'SorP'!$A$"&amp;MATCH($J40,SorP!$B$1:$B$6230,0))))</f>
        <v/>
      </c>
      <c r="U40" s="239"/>
      <c r="V40" s="269" t="e">
        <f>IF(C40="",NA(),MATCH($B40&amp;$C40,'Smelter Look-up'!$J:$J,0))</f>
        <v>#N/A</v>
      </c>
      <c r="W40" s="270"/>
      <c r="X40" s="270">
        <f t="shared" ca="1" si="1"/>
        <v>0</v>
      </c>
      <c r="Y40" s="270"/>
      <c r="Z40" s="270"/>
      <c r="AB40" s="272" t="str">
        <f t="shared" si="2"/>
        <v/>
      </c>
    </row>
    <row r="41" spans="1:28" s="271" customFormat="1" ht="20.25">
      <c r="A41" s="215"/>
      <c r="B41" s="216" t="str">
        <f>IF(LEN(A41)=0,"",INDEX('Smelter Look-up'!$A:$A,MATCH($A41,'Smelter Look-up'!$E:$E,0)))</f>
        <v/>
      </c>
      <c r="C41" s="220" t="str">
        <f>IF(LEN(A41)=0,"",INDEX('Smelter Look-up'!$C:$C,MATCH($A41,'Smelter Look-up'!$E:$E,0)))</f>
        <v/>
      </c>
      <c r="D41" s="216"/>
      <c r="E41" s="216" t="str">
        <f ca="1">IF(ISERROR($V41),"",OFFSET('Smelter Look-up'!$D$4,$V41-4,0)&amp;"")</f>
        <v/>
      </c>
      <c r="F41" s="216" t="str">
        <f ca="1">IF(ISERROR($V41),"",OFFSET('Smelter Look-up'!$E$4,$V41-4,0))</f>
        <v/>
      </c>
      <c r="G41" s="216" t="str">
        <f ca="1">IF(C41=$X$4,"Enter smelter details", IF(ISERROR($V41),"",OFFSET('Smelter Look-up'!$F$4,$V41-4,0)))</f>
        <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0"/>
        <v/>
      </c>
      <c r="T41" s="224" t="str">
        <f ca="1">IF(B41="","",IF(ISERROR(MATCH($J41,SorP!$B$1:$B$6230,0)),"",INDIRECT("'SorP'!$A$"&amp;MATCH($J41,SorP!$B$1:$B$6230,0))))</f>
        <v/>
      </c>
      <c r="U41" s="239"/>
      <c r="V41" s="269" t="e">
        <f>IF(C41="",NA(),MATCH($B41&amp;$C41,'Smelter Look-up'!$J:$J,0))</f>
        <v>#N/A</v>
      </c>
      <c r="W41" s="270"/>
      <c r="X41" s="270">
        <f t="shared" ca="1" si="1"/>
        <v>0</v>
      </c>
      <c r="Y41" s="270"/>
      <c r="Z41" s="270"/>
      <c r="AB41" s="272" t="str">
        <f t="shared" si="2"/>
        <v/>
      </c>
    </row>
    <row r="42" spans="1:28" s="271" customFormat="1" ht="20.25">
      <c r="A42" s="215"/>
      <c r="B42" s="216" t="str">
        <f>IF(LEN(A42)=0,"",INDEX('Smelter Look-up'!$A:$A,MATCH($A42,'Smelter Look-up'!$E:$E,0)))</f>
        <v/>
      </c>
      <c r="C42" s="220" t="str">
        <f>IF(LEN(A42)=0,"",INDEX('Smelter Look-up'!$C:$C,MATCH($A42,'Smelter Look-up'!$E:$E,0)))</f>
        <v/>
      </c>
      <c r="D42" s="216"/>
      <c r="E42" s="216" t="str">
        <f ca="1">IF(ISERROR($V42),"",OFFSET('Smelter Look-up'!$D$4,$V42-4,0)&amp;"")</f>
        <v/>
      </c>
      <c r="F42" s="216" t="str">
        <f ca="1">IF(ISERROR($V42),"",OFFSET('Smelter Look-up'!$E$4,$V42-4,0))</f>
        <v/>
      </c>
      <c r="G42" s="216" t="str">
        <f ca="1">IF(C42=$X$4,"Enter smelter details", IF(ISERROR($V42),"",OFFSET('Smelter Look-up'!$F$4,$V42-4,0)))</f>
        <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0"/>
        <v/>
      </c>
      <c r="T42" s="224" t="str">
        <f ca="1">IF(B42="","",IF(ISERROR(MATCH($J42,SorP!$B$1:$B$6230,0)),"",INDIRECT("'SorP'!$A$"&amp;MATCH($J42,SorP!$B$1:$B$6230,0))))</f>
        <v/>
      </c>
      <c r="U42" s="239"/>
      <c r="V42" s="269" t="e">
        <f>IF(C42="",NA(),MATCH($B42&amp;$C42,'Smelter Look-up'!$J:$J,0))</f>
        <v>#N/A</v>
      </c>
      <c r="W42" s="270"/>
      <c r="X42" s="270">
        <f t="shared" ca="1" si="1"/>
        <v>0</v>
      </c>
      <c r="Y42" s="270"/>
      <c r="Z42" s="270"/>
      <c r="AB42" s="272" t="str">
        <f t="shared" si="2"/>
        <v/>
      </c>
    </row>
    <row r="43" spans="1:28" s="271" customFormat="1" ht="20.25">
      <c r="A43" s="215"/>
      <c r="B43" s="216" t="str">
        <f>IF(LEN(A43)=0,"",INDEX('Smelter Look-up'!$A:$A,MATCH($A43,'Smelter Look-up'!$E:$E,0)))</f>
        <v/>
      </c>
      <c r="C43" s="220" t="str">
        <f>IF(LEN(A43)=0,"",INDEX('Smelter Look-up'!$C:$C,MATCH($A43,'Smelter Look-up'!$E:$E,0)))</f>
        <v/>
      </c>
      <c r="D43" s="216"/>
      <c r="E43" s="216" t="str">
        <f ca="1">IF(ISERROR($V43),"",OFFSET('Smelter Look-up'!$D$4,$V43-4,0)&amp;"")</f>
        <v/>
      </c>
      <c r="F43" s="216" t="str">
        <f ca="1">IF(ISERROR($V43),"",OFFSET('Smelter Look-up'!$E$4,$V43-4,0))</f>
        <v/>
      </c>
      <c r="G43" s="216" t="str">
        <f ca="1">IF(C43=$X$4,"Enter smelter details", IF(ISERROR($V43),"",OFFSET('Smelter Look-up'!$F$4,$V43-4,0)))</f>
        <v/>
      </c>
      <c r="H43" s="217" t="str">
        <f ca="1">IF(ISERROR($V43),"",OFFSET('Smelter Look-up'!$G$4,$V43-4,0))</f>
        <v/>
      </c>
      <c r="I43" s="218" t="str">
        <f ca="1">IF(ISERROR($V43),"",OFFSET('Smelter Look-up'!$H$4,$V43-4,0))</f>
        <v/>
      </c>
      <c r="J43" s="218" t="str">
        <f ca="1">IF(ISERROR($V43),"",OFFSET('Smelter Look-up'!$I$4,$V43-4,0))</f>
        <v/>
      </c>
      <c r="K43" s="267"/>
      <c r="L43" s="267"/>
      <c r="M43" s="267"/>
      <c r="N43" s="267"/>
      <c r="O43" s="267"/>
      <c r="P43" s="219"/>
      <c r="Q43" s="268"/>
      <c r="R43" s="216" t="str">
        <f ca="1">IF(ISERROR($V43),"",OFFSET('Smelter Look-up'!$C$4,$V43-4,0)&amp;"")</f>
        <v/>
      </c>
      <c r="S43" s="224" t="str">
        <f t="shared" ca="1" si="0"/>
        <v/>
      </c>
      <c r="T43" s="224" t="str">
        <f ca="1">IF(B43="","",IF(ISERROR(MATCH($J43,SorP!$B$1:$B$6230,0)),"",INDIRECT("'SorP'!$A$"&amp;MATCH($J43,SorP!$B$1:$B$6230,0))))</f>
        <v/>
      </c>
      <c r="U43" s="239"/>
      <c r="V43" s="269" t="e">
        <f>IF(C43="",NA(),MATCH($B43&amp;$C43,'Smelter Look-up'!$J:$J,0))</f>
        <v>#N/A</v>
      </c>
      <c r="W43" s="270"/>
      <c r="X43" s="270">
        <f t="shared" ca="1" si="1"/>
        <v>0</v>
      </c>
      <c r="Y43" s="270"/>
      <c r="Z43" s="270"/>
      <c r="AB43" s="272" t="str">
        <f t="shared" si="2"/>
        <v/>
      </c>
    </row>
    <row r="44" spans="1:28" s="271" customFormat="1" ht="20.25">
      <c r="A44" s="215"/>
      <c r="B44" s="216" t="str">
        <f>IF(LEN(A44)=0,"",INDEX('Smelter Look-up'!$A:$A,MATCH($A44,'Smelter Look-up'!$E:$E,0)))</f>
        <v/>
      </c>
      <c r="C44" s="220" t="str">
        <f>IF(LEN(A44)=0,"",INDEX('Smelter Look-up'!$C:$C,MATCH($A44,'Smelter Look-up'!$E:$E,0)))</f>
        <v/>
      </c>
      <c r="D44" s="216"/>
      <c r="E44" s="216" t="str">
        <f ca="1">IF(ISERROR($V44),"",OFFSET('Smelter Look-up'!$D$4,$V44-4,0)&amp;"")</f>
        <v/>
      </c>
      <c r="F44" s="216" t="str">
        <f ca="1">IF(ISERROR($V44),"",OFFSET('Smelter Look-up'!$E$4,$V44-4,0))</f>
        <v/>
      </c>
      <c r="G44" s="216" t="str">
        <f ca="1">IF(C44=$X$4,"Enter smelter details", IF(ISERROR($V44),"",OFFSET('Smelter Look-up'!$F$4,$V44-4,0)))</f>
        <v/>
      </c>
      <c r="H44" s="217" t="str">
        <f ca="1">IF(ISERROR($V44),"",OFFSET('Smelter Look-up'!$G$4,$V44-4,0))</f>
        <v/>
      </c>
      <c r="I44" s="218" t="str">
        <f ca="1">IF(ISERROR($V44),"",OFFSET('Smelter Look-up'!$H$4,$V44-4,0))</f>
        <v/>
      </c>
      <c r="J44" s="218" t="str">
        <f ca="1">IF(ISERROR($V44),"",OFFSET('Smelter Look-up'!$I$4,$V44-4,0))</f>
        <v/>
      </c>
      <c r="K44" s="267"/>
      <c r="L44" s="267"/>
      <c r="M44" s="267"/>
      <c r="N44" s="267"/>
      <c r="O44" s="267"/>
      <c r="P44" s="219"/>
      <c r="Q44" s="268"/>
      <c r="R44" s="216" t="str">
        <f ca="1">IF(ISERROR($V44),"",OFFSET('Smelter Look-up'!$C$4,$V44-4,0)&amp;"")</f>
        <v/>
      </c>
      <c r="S44" s="224" t="str">
        <f t="shared" ca="1" si="0"/>
        <v/>
      </c>
      <c r="T44" s="224" t="str">
        <f ca="1">IF(B44="","",IF(ISERROR(MATCH($J44,SorP!$B$1:$B$6230,0)),"",INDIRECT("'SorP'!$A$"&amp;MATCH($J44,SorP!$B$1:$B$6230,0))))</f>
        <v/>
      </c>
      <c r="U44" s="239"/>
      <c r="V44" s="269" t="e">
        <f>IF(C44="",NA(),MATCH($B44&amp;$C44,'Smelter Look-up'!$J:$J,0))</f>
        <v>#N/A</v>
      </c>
      <c r="W44" s="270"/>
      <c r="X44" s="270">
        <f t="shared" ca="1" si="1"/>
        <v>0</v>
      </c>
      <c r="Y44" s="270"/>
      <c r="Z44" s="270"/>
      <c r="AB44" s="272" t="str">
        <f t="shared" si="2"/>
        <v/>
      </c>
    </row>
    <row r="45" spans="1:28" s="271" customFormat="1" ht="20.25">
      <c r="A45" s="215"/>
      <c r="B45" s="216" t="str">
        <f>IF(LEN(A45)=0,"",INDEX('Smelter Look-up'!$A:$A,MATCH($A45,'Smelter Look-up'!$E:$E,0)))</f>
        <v/>
      </c>
      <c r="C45" s="220" t="str">
        <f>IF(LEN(A45)=0,"",INDEX('Smelter Look-up'!$C:$C,MATCH($A45,'Smelter Look-up'!$E:$E,0)))</f>
        <v/>
      </c>
      <c r="D45" s="216"/>
      <c r="E45" s="216" t="str">
        <f ca="1">IF(ISERROR($V45),"",OFFSET('Smelter Look-up'!$D$4,$V45-4,0)&amp;"")</f>
        <v/>
      </c>
      <c r="F45" s="216" t="str">
        <f ca="1">IF(ISERROR($V45),"",OFFSET('Smelter Look-up'!$E$4,$V45-4,0))</f>
        <v/>
      </c>
      <c r="G45" s="216" t="str">
        <f ca="1">IF(C45=$X$4,"Enter smelter details", IF(ISERROR($V45),"",OFFSET('Smelter Look-up'!$F$4,$V45-4,0)))</f>
        <v/>
      </c>
      <c r="H45" s="217" t="str">
        <f ca="1">IF(ISERROR($V45),"",OFFSET('Smelter Look-up'!$G$4,$V45-4,0))</f>
        <v/>
      </c>
      <c r="I45" s="218" t="str">
        <f ca="1">IF(ISERROR($V45),"",OFFSET('Smelter Look-up'!$H$4,$V45-4,0))</f>
        <v/>
      </c>
      <c r="J45" s="218" t="str">
        <f ca="1">IF(ISERROR($V45),"",OFFSET('Smelter Look-up'!$I$4,$V45-4,0))</f>
        <v/>
      </c>
      <c r="K45" s="267"/>
      <c r="L45" s="267"/>
      <c r="M45" s="267"/>
      <c r="N45" s="267"/>
      <c r="O45" s="267"/>
      <c r="P45" s="219"/>
      <c r="Q45" s="268"/>
      <c r="R45" s="216" t="str">
        <f ca="1">IF(ISERROR($V45),"",OFFSET('Smelter Look-up'!$C$4,$V45-4,0)&amp;"")</f>
        <v/>
      </c>
      <c r="S45" s="224" t="str">
        <f t="shared" ca="1" si="0"/>
        <v/>
      </c>
      <c r="T45" s="224" t="str">
        <f ca="1">IF(B45="","",IF(ISERROR(MATCH($J45,SorP!$B$1:$B$6230,0)),"",INDIRECT("'SorP'!$A$"&amp;MATCH($J45,SorP!$B$1:$B$6230,0))))</f>
        <v/>
      </c>
      <c r="U45" s="239"/>
      <c r="V45" s="269" t="e">
        <f>IF(C45="",NA(),MATCH($B45&amp;$C45,'Smelter Look-up'!$J:$J,0))</f>
        <v>#N/A</v>
      </c>
      <c r="W45" s="270"/>
      <c r="X45" s="270">
        <f t="shared" ca="1" si="1"/>
        <v>0</v>
      </c>
      <c r="Y45" s="270"/>
      <c r="Z45" s="270"/>
      <c r="AB45" s="272" t="str">
        <f t="shared" si="2"/>
        <v/>
      </c>
    </row>
    <row r="46" spans="1:28" s="271" customFormat="1" ht="20.25">
      <c r="A46" s="215"/>
      <c r="B46" s="216" t="str">
        <f>IF(LEN(A46)=0,"",INDEX('Smelter Look-up'!$A:$A,MATCH($A46,'Smelter Look-up'!$E:$E,0)))</f>
        <v/>
      </c>
      <c r="C46" s="220" t="str">
        <f>IF(LEN(A46)=0,"",INDEX('Smelter Look-up'!$C:$C,MATCH($A46,'Smelter Look-up'!$E:$E,0)))</f>
        <v/>
      </c>
      <c r="D46" s="216"/>
      <c r="E46" s="216" t="str">
        <f ca="1">IF(ISERROR($V46),"",OFFSET('Smelter Look-up'!$D$4,$V46-4,0)&amp;"")</f>
        <v/>
      </c>
      <c r="F46" s="216" t="str">
        <f ca="1">IF(ISERROR($V46),"",OFFSET('Smelter Look-up'!$E$4,$V46-4,0))</f>
        <v/>
      </c>
      <c r="G46" s="216" t="str">
        <f ca="1">IF(C46=$X$4,"Enter smelter details", IF(ISERROR($V46),"",OFFSET('Smelter Look-up'!$F$4,$V46-4,0)))</f>
        <v/>
      </c>
      <c r="H46" s="217" t="str">
        <f ca="1">IF(ISERROR($V46),"",OFFSET('Smelter Look-up'!$G$4,$V46-4,0))</f>
        <v/>
      </c>
      <c r="I46" s="218" t="str">
        <f ca="1">IF(ISERROR($V46),"",OFFSET('Smelter Look-up'!$H$4,$V46-4,0))</f>
        <v/>
      </c>
      <c r="J46" s="218" t="str">
        <f ca="1">IF(ISERROR($V46),"",OFFSET('Smelter Look-up'!$I$4,$V46-4,0))</f>
        <v/>
      </c>
      <c r="K46" s="267"/>
      <c r="L46" s="267"/>
      <c r="M46" s="267"/>
      <c r="N46" s="267"/>
      <c r="O46" s="267"/>
      <c r="P46" s="219"/>
      <c r="Q46" s="268"/>
      <c r="R46" s="216" t="str">
        <f ca="1">IF(ISERROR($V46),"",OFFSET('Smelter Look-up'!$C$4,$V46-4,0)&amp;"")</f>
        <v/>
      </c>
      <c r="S46" s="224" t="str">
        <f t="shared" ca="1" si="0"/>
        <v/>
      </c>
      <c r="T46" s="224" t="str">
        <f ca="1">IF(B46="","",IF(ISERROR(MATCH($J46,SorP!$B$1:$B$6230,0)),"",INDIRECT("'SorP'!$A$"&amp;MATCH($J46,SorP!$B$1:$B$6230,0))))</f>
        <v/>
      </c>
      <c r="U46" s="239"/>
      <c r="V46" s="269" t="e">
        <f>IF(C46="",NA(),MATCH($B46&amp;$C46,'Smelter Look-up'!$J:$J,0))</f>
        <v>#N/A</v>
      </c>
      <c r="W46" s="270"/>
      <c r="X46" s="270">
        <f t="shared" ca="1" si="1"/>
        <v>0</v>
      </c>
      <c r="Y46" s="270"/>
      <c r="Z46" s="270"/>
      <c r="AB46" s="272" t="str">
        <f t="shared" si="2"/>
        <v/>
      </c>
    </row>
    <row r="47" spans="1:28" s="271" customFormat="1" ht="20.25">
      <c r="A47" s="215"/>
      <c r="B47" s="216" t="str">
        <f>IF(LEN(A47)=0,"",INDEX('Smelter Look-up'!$A:$A,MATCH($A47,'Smelter Look-up'!$E:$E,0)))</f>
        <v/>
      </c>
      <c r="C47" s="220" t="str">
        <f>IF(LEN(A47)=0,"",INDEX('Smelter Look-up'!$C:$C,MATCH($A47,'Smelter Look-up'!$E:$E,0)))</f>
        <v/>
      </c>
      <c r="D47" s="216"/>
      <c r="E47" s="216" t="str">
        <f ca="1">IF(ISERROR($V47),"",OFFSET('Smelter Look-up'!$D$4,$V47-4,0)&amp;"")</f>
        <v/>
      </c>
      <c r="F47" s="216" t="str">
        <f ca="1">IF(ISERROR($V47),"",OFFSET('Smelter Look-up'!$E$4,$V47-4,0))</f>
        <v/>
      </c>
      <c r="G47" s="216" t="str">
        <f ca="1">IF(C47=$X$4,"Enter smelter details", IF(ISERROR($V47),"",OFFSET('Smelter Look-up'!$F$4,$V47-4,0)))</f>
        <v/>
      </c>
      <c r="H47" s="217" t="str">
        <f ca="1">IF(ISERROR($V47),"",OFFSET('Smelter Look-up'!$G$4,$V47-4,0))</f>
        <v/>
      </c>
      <c r="I47" s="218" t="str">
        <f ca="1">IF(ISERROR($V47),"",OFFSET('Smelter Look-up'!$H$4,$V47-4,0))</f>
        <v/>
      </c>
      <c r="J47" s="218" t="str">
        <f ca="1">IF(ISERROR($V47),"",OFFSET('Smelter Look-up'!$I$4,$V47-4,0))</f>
        <v/>
      </c>
      <c r="K47" s="267"/>
      <c r="L47" s="267"/>
      <c r="M47" s="267"/>
      <c r="N47" s="267"/>
      <c r="O47" s="267"/>
      <c r="P47" s="219"/>
      <c r="Q47" s="268"/>
      <c r="R47" s="216" t="str">
        <f ca="1">IF(ISERROR($V47),"",OFFSET('Smelter Look-up'!$C$4,$V47-4,0)&amp;"")</f>
        <v/>
      </c>
      <c r="S47" s="224" t="str">
        <f t="shared" ca="1" si="0"/>
        <v/>
      </c>
      <c r="T47" s="224" t="str">
        <f ca="1">IF(B47="","",IF(ISERROR(MATCH($J47,SorP!$B$1:$B$6230,0)),"",INDIRECT("'SorP'!$A$"&amp;MATCH($J47,SorP!$B$1:$B$6230,0))))</f>
        <v/>
      </c>
      <c r="U47" s="239"/>
      <c r="V47" s="269" t="e">
        <f>IF(C47="",NA(),MATCH($B47&amp;$C47,'Smelter Look-up'!$J:$J,0))</f>
        <v>#N/A</v>
      </c>
      <c r="W47" s="270"/>
      <c r="X47" s="270">
        <f t="shared" ca="1" si="1"/>
        <v>0</v>
      </c>
      <c r="Y47" s="270"/>
      <c r="Z47" s="270"/>
      <c r="AB47" s="272" t="str">
        <f t="shared" si="2"/>
        <v/>
      </c>
    </row>
    <row r="48" spans="1:28" s="271" customFormat="1" ht="20.25">
      <c r="A48" s="215"/>
      <c r="B48" s="216" t="str">
        <f>IF(LEN(A48)=0,"",INDEX('Smelter Look-up'!$A:$A,MATCH($A48,'Smelter Look-up'!$E:$E,0)))</f>
        <v/>
      </c>
      <c r="C48" s="220" t="str">
        <f>IF(LEN(A48)=0,"",INDEX('Smelter Look-up'!$C:$C,MATCH($A48,'Smelter Look-up'!$E:$E,0)))</f>
        <v/>
      </c>
      <c r="D48" s="216"/>
      <c r="E48" s="216" t="str">
        <f ca="1">IF(ISERROR($V48),"",OFFSET('Smelter Look-up'!$D$4,$V48-4,0)&amp;"")</f>
        <v/>
      </c>
      <c r="F48" s="216" t="str">
        <f ca="1">IF(ISERROR($V48),"",OFFSET('Smelter Look-up'!$E$4,$V48-4,0))</f>
        <v/>
      </c>
      <c r="G48" s="216" t="str">
        <f ca="1">IF(C48=$X$4,"Enter smelter details", IF(ISERROR($V48),"",OFFSET('Smelter Look-up'!$F$4,$V48-4,0)))</f>
        <v/>
      </c>
      <c r="H48" s="217" t="str">
        <f ca="1">IF(ISERROR($V48),"",OFFSET('Smelter Look-up'!$G$4,$V48-4,0))</f>
        <v/>
      </c>
      <c r="I48" s="218" t="str">
        <f ca="1">IF(ISERROR($V48),"",OFFSET('Smelter Look-up'!$H$4,$V48-4,0))</f>
        <v/>
      </c>
      <c r="J48" s="218" t="str">
        <f ca="1">IF(ISERROR($V48),"",OFFSET('Smelter Look-up'!$I$4,$V48-4,0))</f>
        <v/>
      </c>
      <c r="K48" s="267"/>
      <c r="L48" s="267"/>
      <c r="M48" s="267"/>
      <c r="N48" s="267"/>
      <c r="O48" s="267"/>
      <c r="P48" s="219"/>
      <c r="Q48" s="268"/>
      <c r="R48" s="216" t="str">
        <f ca="1">IF(ISERROR($V48),"",OFFSET('Smelter Look-up'!$C$4,$V48-4,0)&amp;"")</f>
        <v/>
      </c>
      <c r="S48" s="224" t="str">
        <f t="shared" ca="1" si="0"/>
        <v/>
      </c>
      <c r="T48" s="224" t="str">
        <f ca="1">IF(B48="","",IF(ISERROR(MATCH($J48,SorP!$B$1:$B$6230,0)),"",INDIRECT("'SorP'!$A$"&amp;MATCH($J48,SorP!$B$1:$B$6230,0))))</f>
        <v/>
      </c>
      <c r="U48" s="239"/>
      <c r="V48" s="269" t="e">
        <f>IF(C48="",NA(),MATCH($B48&amp;$C48,'Smelter Look-up'!$J:$J,0))</f>
        <v>#N/A</v>
      </c>
      <c r="W48" s="270"/>
      <c r="X48" s="270">
        <f t="shared" ca="1" si="1"/>
        <v>0</v>
      </c>
      <c r="Y48" s="270"/>
      <c r="Z48" s="270"/>
      <c r="AB48" s="272" t="str">
        <f t="shared" si="2"/>
        <v/>
      </c>
    </row>
    <row r="49" spans="1:28" s="271" customFormat="1" ht="20.25">
      <c r="A49" s="215"/>
      <c r="B49" s="216" t="str">
        <f>IF(LEN(A49)=0,"",INDEX('Smelter Look-up'!$A:$A,MATCH($A49,'Smelter Look-up'!$E:$E,0)))</f>
        <v/>
      </c>
      <c r="C49" s="220" t="str">
        <f>IF(LEN(A49)=0,"",INDEX('Smelter Look-up'!$C:$C,MATCH($A49,'Smelter Look-up'!$E:$E,0)))</f>
        <v/>
      </c>
      <c r="D49" s="216"/>
      <c r="E49" s="216" t="str">
        <f ca="1">IF(ISERROR($V49),"",OFFSET('Smelter Look-up'!$D$4,$V49-4,0)&amp;"")</f>
        <v/>
      </c>
      <c r="F49" s="216" t="str">
        <f ca="1">IF(ISERROR($V49),"",OFFSET('Smelter Look-up'!$E$4,$V49-4,0))</f>
        <v/>
      </c>
      <c r="G49" s="216" t="str">
        <f ca="1">IF(C49=$X$4,"Enter smelter details", IF(ISERROR($V49),"",OFFSET('Smelter Look-up'!$F$4,$V49-4,0)))</f>
        <v/>
      </c>
      <c r="H49" s="217" t="str">
        <f ca="1">IF(ISERROR($V49),"",OFFSET('Smelter Look-up'!$G$4,$V49-4,0))</f>
        <v/>
      </c>
      <c r="I49" s="218" t="str">
        <f ca="1">IF(ISERROR($V49),"",OFFSET('Smelter Look-up'!$H$4,$V49-4,0))</f>
        <v/>
      </c>
      <c r="J49" s="218" t="str">
        <f ca="1">IF(ISERROR($V49),"",OFFSET('Smelter Look-up'!$I$4,$V49-4,0))</f>
        <v/>
      </c>
      <c r="K49" s="267"/>
      <c r="L49" s="267"/>
      <c r="M49" s="267"/>
      <c r="N49" s="267"/>
      <c r="O49" s="267"/>
      <c r="P49" s="219"/>
      <c r="Q49" s="268"/>
      <c r="R49" s="216" t="str">
        <f ca="1">IF(ISERROR($V49),"",OFFSET('Smelter Look-up'!$C$4,$V49-4,0)&amp;"")</f>
        <v/>
      </c>
      <c r="S49" s="224" t="str">
        <f t="shared" ca="1" si="0"/>
        <v/>
      </c>
      <c r="T49" s="224" t="str">
        <f ca="1">IF(B49="","",IF(ISERROR(MATCH($J49,SorP!$B$1:$B$6230,0)),"",INDIRECT("'SorP'!$A$"&amp;MATCH($J49,SorP!$B$1:$B$6230,0))))</f>
        <v/>
      </c>
      <c r="U49" s="239"/>
      <c r="V49" s="269" t="e">
        <f>IF(C49="",NA(),MATCH($B49&amp;$C49,'Smelter Look-up'!$J:$J,0))</f>
        <v>#N/A</v>
      </c>
      <c r="W49" s="270"/>
      <c r="X49" s="270">
        <f t="shared" ca="1" si="1"/>
        <v>0</v>
      </c>
      <c r="Y49" s="270"/>
      <c r="Z49" s="270"/>
      <c r="AB49" s="272" t="str">
        <f t="shared" si="2"/>
        <v/>
      </c>
    </row>
    <row r="50" spans="1:28" s="271" customFormat="1" ht="20.25">
      <c r="A50" s="215"/>
      <c r="B50" s="216" t="str">
        <f>IF(LEN(A50)=0,"",INDEX('Smelter Look-up'!$A:$A,MATCH($A50,'Smelter Look-up'!$E:$E,0)))</f>
        <v/>
      </c>
      <c r="C50" s="220" t="str">
        <f>IF(LEN(A50)=0,"",INDEX('Smelter Look-up'!$C:$C,MATCH($A50,'Smelter Look-up'!$E:$E,0)))</f>
        <v/>
      </c>
      <c r="D50" s="216"/>
      <c r="E50" s="216" t="str">
        <f ca="1">IF(ISERROR($V50),"",OFFSET('Smelter Look-up'!$D$4,$V50-4,0)&amp;"")</f>
        <v/>
      </c>
      <c r="F50" s="216" t="str">
        <f ca="1">IF(ISERROR($V50),"",OFFSET('Smelter Look-up'!$E$4,$V50-4,0))</f>
        <v/>
      </c>
      <c r="G50" s="216" t="str">
        <f ca="1">IF(C50=$X$4,"Enter smelter details", IF(ISERROR($V50),"",OFFSET('Smelter Look-up'!$F$4,$V50-4,0)))</f>
        <v/>
      </c>
      <c r="H50" s="217" t="str">
        <f ca="1">IF(ISERROR($V50),"",OFFSET('Smelter Look-up'!$G$4,$V50-4,0))</f>
        <v/>
      </c>
      <c r="I50" s="218" t="str">
        <f ca="1">IF(ISERROR($V50),"",OFFSET('Smelter Look-up'!$H$4,$V50-4,0))</f>
        <v/>
      </c>
      <c r="J50" s="218" t="str">
        <f ca="1">IF(ISERROR($V50),"",OFFSET('Smelter Look-up'!$I$4,$V50-4,0))</f>
        <v/>
      </c>
      <c r="K50" s="267"/>
      <c r="L50" s="267"/>
      <c r="M50" s="267"/>
      <c r="N50" s="267"/>
      <c r="O50" s="267"/>
      <c r="P50" s="219"/>
      <c r="Q50" s="268"/>
      <c r="R50" s="216" t="str">
        <f ca="1">IF(ISERROR($V50),"",OFFSET('Smelter Look-up'!$C$4,$V50-4,0)&amp;"")</f>
        <v/>
      </c>
      <c r="S50" s="224" t="str">
        <f t="shared" ca="1" si="0"/>
        <v/>
      </c>
      <c r="T50" s="224" t="str">
        <f ca="1">IF(B50="","",IF(ISERROR(MATCH($J50,SorP!$B$1:$B$6230,0)),"",INDIRECT("'SorP'!$A$"&amp;MATCH($J50,SorP!$B$1:$B$6230,0))))</f>
        <v/>
      </c>
      <c r="U50" s="239"/>
      <c r="V50" s="269" t="e">
        <f>IF(C50="",NA(),MATCH($B50&amp;$C50,'Smelter Look-up'!$J:$J,0))</f>
        <v>#N/A</v>
      </c>
      <c r="W50" s="270"/>
      <c r="X50" s="270">
        <f t="shared" ca="1" si="1"/>
        <v>0</v>
      </c>
      <c r="Y50" s="270"/>
      <c r="Z50" s="270"/>
      <c r="AB50" s="272" t="str">
        <f t="shared" si="2"/>
        <v/>
      </c>
    </row>
    <row r="51" spans="1:28" s="271" customFormat="1" ht="20.25">
      <c r="A51" s="215"/>
      <c r="B51" s="216" t="str">
        <f>IF(LEN(A51)=0,"",INDEX('Smelter Look-up'!$A:$A,MATCH($A51,'Smelter Look-up'!$E:$E,0)))</f>
        <v/>
      </c>
      <c r="C51" s="220" t="str">
        <f>IF(LEN(A51)=0,"",INDEX('Smelter Look-up'!$C:$C,MATCH($A51,'Smelter Look-up'!$E:$E,0)))</f>
        <v/>
      </c>
      <c r="D51" s="216"/>
      <c r="E51" s="216" t="str">
        <f ca="1">IF(ISERROR($V51),"",OFFSET('Smelter Look-up'!$D$4,$V51-4,0)&amp;"")</f>
        <v/>
      </c>
      <c r="F51" s="216" t="str">
        <f ca="1">IF(ISERROR($V51),"",OFFSET('Smelter Look-up'!$E$4,$V51-4,0))</f>
        <v/>
      </c>
      <c r="G51" s="216" t="str">
        <f ca="1">IF(C51=$X$4,"Enter smelter details", IF(ISERROR($V51),"",OFFSET('Smelter Look-up'!$F$4,$V51-4,0)))</f>
        <v/>
      </c>
      <c r="H51" s="217" t="str">
        <f ca="1">IF(ISERROR($V51),"",OFFSET('Smelter Look-up'!$G$4,$V51-4,0))</f>
        <v/>
      </c>
      <c r="I51" s="218" t="str">
        <f ca="1">IF(ISERROR($V51),"",OFFSET('Smelter Look-up'!$H$4,$V51-4,0))</f>
        <v/>
      </c>
      <c r="J51" s="218" t="str">
        <f ca="1">IF(ISERROR($V51),"",OFFSET('Smelter Look-up'!$I$4,$V51-4,0))</f>
        <v/>
      </c>
      <c r="K51" s="267"/>
      <c r="L51" s="267"/>
      <c r="M51" s="267"/>
      <c r="N51" s="267"/>
      <c r="O51" s="267"/>
      <c r="P51" s="219"/>
      <c r="Q51" s="268"/>
      <c r="R51" s="216" t="str">
        <f ca="1">IF(ISERROR($V51),"",OFFSET('Smelter Look-up'!$C$4,$V51-4,0)&amp;"")</f>
        <v/>
      </c>
      <c r="S51" s="224" t="str">
        <f t="shared" ca="1" si="0"/>
        <v/>
      </c>
      <c r="T51" s="224" t="str">
        <f ca="1">IF(B51="","",IF(ISERROR(MATCH($J51,SorP!$B$1:$B$6230,0)),"",INDIRECT("'SorP'!$A$"&amp;MATCH($J51,SorP!$B$1:$B$6230,0))))</f>
        <v/>
      </c>
      <c r="U51" s="239"/>
      <c r="V51" s="269" t="e">
        <f>IF(C51="",NA(),MATCH($B51&amp;$C51,'Smelter Look-up'!$J:$J,0))</f>
        <v>#N/A</v>
      </c>
      <c r="W51" s="270"/>
      <c r="X51" s="270">
        <f t="shared" ca="1" si="1"/>
        <v>0</v>
      </c>
      <c r="Y51" s="270"/>
      <c r="Z51" s="270"/>
      <c r="AB51" s="272" t="str">
        <f t="shared" si="2"/>
        <v/>
      </c>
    </row>
    <row r="52" spans="1:28" s="271" customFormat="1" ht="20.25">
      <c r="A52" s="215"/>
      <c r="B52" s="216" t="str">
        <f>IF(LEN(A52)=0,"",INDEX('Smelter Look-up'!$A:$A,MATCH($A52,'Smelter Look-up'!$E:$E,0)))</f>
        <v/>
      </c>
      <c r="C52" s="220" t="str">
        <f>IF(LEN(A52)=0,"",INDEX('Smelter Look-up'!$C:$C,MATCH($A52,'Smelter Look-up'!$E:$E,0)))</f>
        <v/>
      </c>
      <c r="D52" s="216"/>
      <c r="E52" s="216" t="str">
        <f ca="1">IF(ISERROR($V52),"",OFFSET('Smelter Look-up'!$D$4,$V52-4,0)&amp;"")</f>
        <v/>
      </c>
      <c r="F52" s="216" t="str">
        <f ca="1">IF(ISERROR($V52),"",OFFSET('Smelter Look-up'!$E$4,$V52-4,0))</f>
        <v/>
      </c>
      <c r="G52" s="216" t="str">
        <f ca="1">IF(C52=$X$4,"Enter smelter details", IF(ISERROR($V52),"",OFFSET('Smelter Look-up'!$F$4,$V52-4,0)))</f>
        <v/>
      </c>
      <c r="H52" s="217" t="str">
        <f ca="1">IF(ISERROR($V52),"",OFFSET('Smelter Look-up'!$G$4,$V52-4,0))</f>
        <v/>
      </c>
      <c r="I52" s="218" t="str">
        <f ca="1">IF(ISERROR($V52),"",OFFSET('Smelter Look-up'!$H$4,$V52-4,0))</f>
        <v/>
      </c>
      <c r="J52" s="218" t="str">
        <f ca="1">IF(ISERROR($V52),"",OFFSET('Smelter Look-up'!$I$4,$V52-4,0))</f>
        <v/>
      </c>
      <c r="K52" s="267"/>
      <c r="L52" s="267"/>
      <c r="M52" s="267"/>
      <c r="N52" s="267"/>
      <c r="O52" s="267"/>
      <c r="P52" s="219"/>
      <c r="Q52" s="268"/>
      <c r="R52" s="216" t="str">
        <f ca="1">IF(ISERROR($V52),"",OFFSET('Smelter Look-up'!$C$4,$V52-4,0)&amp;"")</f>
        <v/>
      </c>
      <c r="S52" s="224" t="str">
        <f t="shared" ca="1" si="0"/>
        <v/>
      </c>
      <c r="T52" s="224" t="str">
        <f ca="1">IF(B52="","",IF(ISERROR(MATCH($J52,SorP!$B$1:$B$6230,0)),"",INDIRECT("'SorP'!$A$"&amp;MATCH($J52,SorP!$B$1:$B$6230,0))))</f>
        <v/>
      </c>
      <c r="U52" s="239"/>
      <c r="V52" s="269" t="e">
        <f>IF(C52="",NA(),MATCH($B52&amp;$C52,'Smelter Look-up'!$J:$J,0))</f>
        <v>#N/A</v>
      </c>
      <c r="W52" s="270"/>
      <c r="X52" s="270">
        <f t="shared" ca="1" si="1"/>
        <v>0</v>
      </c>
      <c r="Y52" s="270"/>
      <c r="Z52" s="270"/>
      <c r="AB52" s="272" t="str">
        <f t="shared" si="2"/>
        <v/>
      </c>
    </row>
    <row r="53" spans="1:28" s="271" customFormat="1" ht="20.25">
      <c r="A53" s="215"/>
      <c r="B53" s="216" t="str">
        <f>IF(LEN(A53)=0,"",INDEX('Smelter Look-up'!$A:$A,MATCH($A53,'Smelter Look-up'!$E:$E,0)))</f>
        <v/>
      </c>
      <c r="C53" s="220" t="str">
        <f>IF(LEN(A53)=0,"",INDEX('Smelter Look-up'!$C:$C,MATCH($A53,'Smelter Look-up'!$E:$E,0)))</f>
        <v/>
      </c>
      <c r="D53" s="216"/>
      <c r="E53" s="216" t="str">
        <f ca="1">IF(ISERROR($V53),"",OFFSET('Smelter Look-up'!$D$4,$V53-4,0)&amp;"")</f>
        <v/>
      </c>
      <c r="F53" s="216" t="str">
        <f ca="1">IF(ISERROR($V53),"",OFFSET('Smelter Look-up'!$E$4,$V53-4,0))</f>
        <v/>
      </c>
      <c r="G53" s="216" t="str">
        <f ca="1">IF(C53=$X$4,"Enter smelter details", IF(ISERROR($V53),"",OFFSET('Smelter Look-up'!$F$4,$V53-4,0)))</f>
        <v/>
      </c>
      <c r="H53" s="217" t="str">
        <f ca="1">IF(ISERROR($V53),"",OFFSET('Smelter Look-up'!$G$4,$V53-4,0))</f>
        <v/>
      </c>
      <c r="I53" s="218" t="str">
        <f ca="1">IF(ISERROR($V53),"",OFFSET('Smelter Look-up'!$H$4,$V53-4,0))</f>
        <v/>
      </c>
      <c r="J53" s="218" t="str">
        <f ca="1">IF(ISERROR($V53),"",OFFSET('Smelter Look-up'!$I$4,$V53-4,0))</f>
        <v/>
      </c>
      <c r="K53" s="267"/>
      <c r="L53" s="267"/>
      <c r="M53" s="267"/>
      <c r="N53" s="267"/>
      <c r="O53" s="267"/>
      <c r="P53" s="219"/>
      <c r="Q53" s="268"/>
      <c r="R53" s="216" t="str">
        <f ca="1">IF(ISERROR($V53),"",OFFSET('Smelter Look-up'!$C$4,$V53-4,0)&amp;"")</f>
        <v/>
      </c>
      <c r="S53" s="224" t="str">
        <f t="shared" ca="1" si="0"/>
        <v/>
      </c>
      <c r="T53" s="224" t="str">
        <f ca="1">IF(B53="","",IF(ISERROR(MATCH($J53,SorP!$B$1:$B$6230,0)),"",INDIRECT("'SorP'!$A$"&amp;MATCH($J53,SorP!$B$1:$B$6230,0))))</f>
        <v/>
      </c>
      <c r="U53" s="239"/>
      <c r="V53" s="269" t="e">
        <f>IF(C53="",NA(),MATCH($B53&amp;$C53,'Smelter Look-up'!$J:$J,0))</f>
        <v>#N/A</v>
      </c>
      <c r="W53" s="270"/>
      <c r="X53" s="270">
        <f t="shared" ca="1" si="1"/>
        <v>0</v>
      </c>
      <c r="Y53" s="270"/>
      <c r="Z53" s="270"/>
      <c r="AB53" s="272" t="str">
        <f t="shared" si="2"/>
        <v/>
      </c>
    </row>
    <row r="54" spans="1:28" s="271" customFormat="1" ht="20.25">
      <c r="A54" s="215"/>
      <c r="B54" s="216" t="str">
        <f>IF(LEN(A54)=0,"",INDEX('Smelter Look-up'!$A:$A,MATCH($A54,'Smelter Look-up'!$E:$E,0)))</f>
        <v/>
      </c>
      <c r="C54" s="220" t="str">
        <f>IF(LEN(A54)=0,"",INDEX('Smelter Look-up'!$C:$C,MATCH($A54,'Smelter Look-up'!$E:$E,0)))</f>
        <v/>
      </c>
      <c r="D54" s="216"/>
      <c r="E54" s="216" t="str">
        <f ca="1">IF(ISERROR($V54),"",OFFSET('Smelter Look-up'!$D$4,$V54-4,0)&amp;"")</f>
        <v/>
      </c>
      <c r="F54" s="216" t="str">
        <f ca="1">IF(ISERROR($V54),"",OFFSET('Smelter Look-up'!$E$4,$V54-4,0))</f>
        <v/>
      </c>
      <c r="G54" s="216" t="str">
        <f ca="1">IF(C54=$X$4,"Enter smelter details", IF(ISERROR($V54),"",OFFSET('Smelter Look-up'!$F$4,$V54-4,0)))</f>
        <v/>
      </c>
      <c r="H54" s="217" t="str">
        <f ca="1">IF(ISERROR($V54),"",OFFSET('Smelter Look-up'!$G$4,$V54-4,0))</f>
        <v/>
      </c>
      <c r="I54" s="218" t="str">
        <f ca="1">IF(ISERROR($V54),"",OFFSET('Smelter Look-up'!$H$4,$V54-4,0))</f>
        <v/>
      </c>
      <c r="J54" s="218" t="str">
        <f ca="1">IF(ISERROR($V54),"",OFFSET('Smelter Look-up'!$I$4,$V54-4,0))</f>
        <v/>
      </c>
      <c r="K54" s="267"/>
      <c r="L54" s="267"/>
      <c r="M54" s="267"/>
      <c r="N54" s="267"/>
      <c r="O54" s="267"/>
      <c r="P54" s="219"/>
      <c r="Q54" s="268"/>
      <c r="R54" s="216" t="str">
        <f ca="1">IF(ISERROR($V54),"",OFFSET('Smelter Look-up'!$C$4,$V54-4,0)&amp;"")</f>
        <v/>
      </c>
      <c r="S54" s="224" t="str">
        <f t="shared" ca="1" si="0"/>
        <v/>
      </c>
      <c r="T54" s="224" t="str">
        <f ca="1">IF(B54="","",IF(ISERROR(MATCH($J54,SorP!$B$1:$B$6230,0)),"",INDIRECT("'SorP'!$A$"&amp;MATCH($J54,SorP!$B$1:$B$6230,0))))</f>
        <v/>
      </c>
      <c r="U54" s="239"/>
      <c r="V54" s="269" t="e">
        <f>IF(C54="",NA(),MATCH($B54&amp;$C54,'Smelter Look-up'!$J:$J,0))</f>
        <v>#N/A</v>
      </c>
      <c r="W54" s="270"/>
      <c r="X54" s="270">
        <f t="shared" ca="1" si="1"/>
        <v>0</v>
      </c>
      <c r="Y54" s="270"/>
      <c r="Z54" s="270"/>
      <c r="AB54" s="272" t="str">
        <f t="shared" si="2"/>
        <v/>
      </c>
    </row>
    <row r="55" spans="1:28" s="271" customFormat="1" ht="20.25">
      <c r="A55" s="215"/>
      <c r="B55" s="216" t="str">
        <f>IF(LEN(A55)=0,"",INDEX('Smelter Look-up'!$A:$A,MATCH($A55,'Smelter Look-up'!$E:$E,0)))</f>
        <v/>
      </c>
      <c r="C55" s="220" t="str">
        <f>IF(LEN(A55)=0,"",INDEX('Smelter Look-up'!$C:$C,MATCH($A55,'Smelter Look-up'!$E:$E,0)))</f>
        <v/>
      </c>
      <c r="D55" s="216"/>
      <c r="E55" s="216" t="str">
        <f ca="1">IF(ISERROR($V55),"",OFFSET('Smelter Look-up'!$D$4,$V55-4,0)&amp;"")</f>
        <v/>
      </c>
      <c r="F55" s="216" t="str">
        <f ca="1">IF(ISERROR($V55),"",OFFSET('Smelter Look-up'!$E$4,$V55-4,0))</f>
        <v/>
      </c>
      <c r="G55" s="216" t="str">
        <f ca="1">IF(C55=$X$4,"Enter smelter details", IF(ISERROR($V55),"",OFFSET('Smelter Look-up'!$F$4,$V55-4,0)))</f>
        <v/>
      </c>
      <c r="H55" s="217" t="str">
        <f ca="1">IF(ISERROR($V55),"",OFFSET('Smelter Look-up'!$G$4,$V55-4,0))</f>
        <v/>
      </c>
      <c r="I55" s="218" t="str">
        <f ca="1">IF(ISERROR($V55),"",OFFSET('Smelter Look-up'!$H$4,$V55-4,0))</f>
        <v/>
      </c>
      <c r="J55" s="218" t="str">
        <f ca="1">IF(ISERROR($V55),"",OFFSET('Smelter Look-up'!$I$4,$V55-4,0))</f>
        <v/>
      </c>
      <c r="K55" s="267"/>
      <c r="L55" s="267"/>
      <c r="M55" s="267"/>
      <c r="N55" s="267"/>
      <c r="O55" s="267"/>
      <c r="P55" s="219"/>
      <c r="Q55" s="268"/>
      <c r="R55" s="216" t="str">
        <f ca="1">IF(ISERROR($V55),"",OFFSET('Smelter Look-up'!$C$4,$V55-4,0)&amp;"")</f>
        <v/>
      </c>
      <c r="S55" s="224" t="str">
        <f t="shared" ca="1" si="0"/>
        <v/>
      </c>
      <c r="T55" s="224" t="str">
        <f ca="1">IF(B55="","",IF(ISERROR(MATCH($J55,SorP!$B$1:$B$6230,0)),"",INDIRECT("'SorP'!$A$"&amp;MATCH($J55,SorP!$B$1:$B$6230,0))))</f>
        <v/>
      </c>
      <c r="U55" s="239"/>
      <c r="V55" s="269" t="e">
        <f>IF(C55="",NA(),MATCH($B55&amp;$C55,'Smelter Look-up'!$J:$J,0))</f>
        <v>#N/A</v>
      </c>
      <c r="W55" s="270"/>
      <c r="X55" s="270">
        <f t="shared" ca="1" si="1"/>
        <v>0</v>
      </c>
      <c r="Y55" s="270"/>
      <c r="Z55" s="270"/>
      <c r="AB55" s="272" t="str">
        <f t="shared" si="2"/>
        <v/>
      </c>
    </row>
    <row r="56" spans="1:28" s="271" customFormat="1" ht="20.25">
      <c r="A56" s="215"/>
      <c r="B56" s="216" t="str">
        <f>IF(LEN(A56)=0,"",INDEX('Smelter Look-up'!$A:$A,MATCH($A56,'Smelter Look-up'!$E:$E,0)))</f>
        <v/>
      </c>
      <c r="C56" s="220" t="str">
        <f>IF(LEN(A56)=0,"",INDEX('Smelter Look-up'!$C:$C,MATCH($A56,'Smelter Look-up'!$E:$E,0)))</f>
        <v/>
      </c>
      <c r="D56" s="216"/>
      <c r="E56" s="216" t="str">
        <f ca="1">IF(ISERROR($V56),"",OFFSET('Smelter Look-up'!$D$4,$V56-4,0)&amp;"")</f>
        <v/>
      </c>
      <c r="F56" s="216" t="str">
        <f ca="1">IF(ISERROR($V56),"",OFFSET('Smelter Look-up'!$E$4,$V56-4,0))</f>
        <v/>
      </c>
      <c r="G56" s="216" t="str">
        <f ca="1">IF(C56=$X$4,"Enter smelter details", IF(ISERROR($V56),"",OFFSET('Smelter Look-up'!$F$4,$V56-4,0)))</f>
        <v/>
      </c>
      <c r="H56" s="217" t="str">
        <f ca="1">IF(ISERROR($V56),"",OFFSET('Smelter Look-up'!$G$4,$V56-4,0))</f>
        <v/>
      </c>
      <c r="I56" s="218" t="str">
        <f ca="1">IF(ISERROR($V56),"",OFFSET('Smelter Look-up'!$H$4,$V56-4,0))</f>
        <v/>
      </c>
      <c r="J56" s="218" t="str">
        <f ca="1">IF(ISERROR($V56),"",OFFSET('Smelter Look-up'!$I$4,$V56-4,0))</f>
        <v/>
      </c>
      <c r="K56" s="267"/>
      <c r="L56" s="267"/>
      <c r="M56" s="267"/>
      <c r="N56" s="267"/>
      <c r="O56" s="267"/>
      <c r="P56" s="219"/>
      <c r="Q56" s="268"/>
      <c r="R56" s="216" t="str">
        <f ca="1">IF(ISERROR($V56),"",OFFSET('Smelter Look-up'!$C$4,$V56-4,0)&amp;"")</f>
        <v/>
      </c>
      <c r="S56" s="224" t="str">
        <f t="shared" ca="1" si="0"/>
        <v/>
      </c>
      <c r="T56" s="224" t="str">
        <f ca="1">IF(B56="","",IF(ISERROR(MATCH($J56,SorP!$B$1:$B$6230,0)),"",INDIRECT("'SorP'!$A$"&amp;MATCH($J56,SorP!$B$1:$B$6230,0))))</f>
        <v/>
      </c>
      <c r="U56" s="239"/>
      <c r="V56" s="269" t="e">
        <f>IF(C56="",NA(),MATCH($B56&amp;$C56,'Smelter Look-up'!$J:$J,0))</f>
        <v>#N/A</v>
      </c>
      <c r="W56" s="270"/>
      <c r="X56" s="270">
        <f t="shared" ca="1" si="1"/>
        <v>0</v>
      </c>
      <c r="Y56" s="270"/>
      <c r="Z56" s="270"/>
      <c r="AB56" s="272" t="str">
        <f t="shared" si="2"/>
        <v/>
      </c>
    </row>
    <row r="57" spans="1:28" s="271" customFormat="1" ht="20.25">
      <c r="A57" s="215"/>
      <c r="B57" s="216" t="str">
        <f>IF(LEN(A57)=0,"",INDEX('Smelter Look-up'!$A:$A,MATCH($A57,'Smelter Look-up'!$E:$E,0)))</f>
        <v/>
      </c>
      <c r="C57" s="220" t="str">
        <f>IF(LEN(A57)=0,"",INDEX('Smelter Look-up'!$C:$C,MATCH($A57,'Smelter Look-up'!$E:$E,0)))</f>
        <v/>
      </c>
      <c r="D57" s="216"/>
      <c r="E57" s="216" t="str">
        <f ca="1">IF(ISERROR($V57),"",OFFSET('Smelter Look-up'!$D$4,$V57-4,0)&amp;"")</f>
        <v/>
      </c>
      <c r="F57" s="216" t="str">
        <f ca="1">IF(ISERROR($V57),"",OFFSET('Smelter Look-up'!$E$4,$V57-4,0))</f>
        <v/>
      </c>
      <c r="G57" s="216" t="str">
        <f ca="1">IF(C57=$X$4,"Enter smelter details", IF(ISERROR($V57),"",OFFSET('Smelter Look-up'!$F$4,$V57-4,0)))</f>
        <v/>
      </c>
      <c r="H57" s="217" t="str">
        <f ca="1">IF(ISERROR($V57),"",OFFSET('Smelter Look-up'!$G$4,$V57-4,0))</f>
        <v/>
      </c>
      <c r="I57" s="218" t="str">
        <f ca="1">IF(ISERROR($V57),"",OFFSET('Smelter Look-up'!$H$4,$V57-4,0))</f>
        <v/>
      </c>
      <c r="J57" s="218" t="str">
        <f ca="1">IF(ISERROR($V57),"",OFFSET('Smelter Look-up'!$I$4,$V57-4,0))</f>
        <v/>
      </c>
      <c r="K57" s="267"/>
      <c r="L57" s="267"/>
      <c r="M57" s="267"/>
      <c r="N57" s="267"/>
      <c r="O57" s="267"/>
      <c r="P57" s="219"/>
      <c r="Q57" s="268"/>
      <c r="R57" s="216" t="str">
        <f ca="1">IF(ISERROR($V57),"",OFFSET('Smelter Look-up'!$C$4,$V57-4,0)&amp;"")</f>
        <v/>
      </c>
      <c r="S57" s="224" t="str">
        <f t="shared" ca="1" si="0"/>
        <v/>
      </c>
      <c r="T57" s="224" t="str">
        <f ca="1">IF(B57="","",IF(ISERROR(MATCH($J57,SorP!$B$1:$B$6230,0)),"",INDIRECT("'SorP'!$A$"&amp;MATCH($J57,SorP!$B$1:$B$6230,0))))</f>
        <v/>
      </c>
      <c r="U57" s="239"/>
      <c r="V57" s="269" t="e">
        <f>IF(C57="",NA(),MATCH($B57&amp;$C57,'Smelter Look-up'!$J:$J,0))</f>
        <v>#N/A</v>
      </c>
      <c r="W57" s="270"/>
      <c r="X57" s="270">
        <f t="shared" ca="1" si="1"/>
        <v>0</v>
      </c>
      <c r="Y57" s="270"/>
      <c r="Z57" s="270"/>
      <c r="AB57" s="272" t="str">
        <f t="shared" si="2"/>
        <v/>
      </c>
    </row>
    <row r="58" spans="1:28" s="271" customFormat="1" ht="20.25">
      <c r="A58" s="215"/>
      <c r="B58" s="216" t="str">
        <f>IF(LEN(A58)=0,"",INDEX('Smelter Look-up'!$A:$A,MATCH($A58,'Smelter Look-up'!$E:$E,0)))</f>
        <v/>
      </c>
      <c r="C58" s="220" t="str">
        <f>IF(LEN(A58)=0,"",INDEX('Smelter Look-up'!$C:$C,MATCH($A58,'Smelter Look-up'!$E:$E,0)))</f>
        <v/>
      </c>
      <c r="D58" s="216"/>
      <c r="E58" s="216" t="str">
        <f ca="1">IF(ISERROR($V58),"",OFFSET('Smelter Look-up'!$D$4,$V58-4,0)&amp;"")</f>
        <v/>
      </c>
      <c r="F58" s="216" t="str">
        <f ca="1">IF(ISERROR($V58),"",OFFSET('Smelter Look-up'!$E$4,$V58-4,0))</f>
        <v/>
      </c>
      <c r="G58" s="216" t="str">
        <f ca="1">IF(C58=$X$4,"Enter smelter details", IF(ISERROR($V58),"",OFFSET('Smelter Look-up'!$F$4,$V58-4,0)))</f>
        <v/>
      </c>
      <c r="H58" s="217" t="str">
        <f ca="1">IF(ISERROR($V58),"",OFFSET('Smelter Look-up'!$G$4,$V58-4,0))</f>
        <v/>
      </c>
      <c r="I58" s="218" t="str">
        <f ca="1">IF(ISERROR($V58),"",OFFSET('Smelter Look-up'!$H$4,$V58-4,0))</f>
        <v/>
      </c>
      <c r="J58" s="218" t="str">
        <f ca="1">IF(ISERROR($V58),"",OFFSET('Smelter Look-up'!$I$4,$V58-4,0))</f>
        <v/>
      </c>
      <c r="K58" s="267"/>
      <c r="L58" s="267"/>
      <c r="M58" s="267"/>
      <c r="N58" s="267"/>
      <c r="O58" s="267"/>
      <c r="P58" s="219"/>
      <c r="Q58" s="268"/>
      <c r="R58" s="216" t="str">
        <f ca="1">IF(ISERROR($V58),"",OFFSET('Smelter Look-up'!$C$4,$V58-4,0)&amp;"")</f>
        <v/>
      </c>
      <c r="S58" s="224" t="str">
        <f t="shared" ca="1" si="0"/>
        <v/>
      </c>
      <c r="T58" s="224" t="str">
        <f ca="1">IF(B58="","",IF(ISERROR(MATCH($J58,SorP!$B$1:$B$6230,0)),"",INDIRECT("'SorP'!$A$"&amp;MATCH($J58,SorP!$B$1:$B$6230,0))))</f>
        <v/>
      </c>
      <c r="U58" s="239"/>
      <c r="V58" s="269" t="e">
        <f>IF(C58="",NA(),MATCH($B58&amp;$C58,'Smelter Look-up'!$J:$J,0))</f>
        <v>#N/A</v>
      </c>
      <c r="W58" s="270"/>
      <c r="X58" s="270">
        <f t="shared" ca="1" si="1"/>
        <v>0</v>
      </c>
      <c r="Y58" s="270"/>
      <c r="Z58" s="270"/>
      <c r="AB58" s="272" t="str">
        <f t="shared" si="2"/>
        <v/>
      </c>
    </row>
    <row r="59" spans="1:28" s="271" customFormat="1" ht="20.25">
      <c r="A59" s="215"/>
      <c r="B59" s="216" t="str">
        <f>IF(LEN(A59)=0,"",INDEX('Smelter Look-up'!$A:$A,MATCH($A59,'Smelter Look-up'!$E:$E,0)))</f>
        <v/>
      </c>
      <c r="C59" s="220" t="str">
        <f>IF(LEN(A59)=0,"",INDEX('Smelter Look-up'!$C:$C,MATCH($A59,'Smelter Look-up'!$E:$E,0)))</f>
        <v/>
      </c>
      <c r="D59" s="216"/>
      <c r="E59" s="216" t="str">
        <f ca="1">IF(ISERROR($V59),"",OFFSET('Smelter Look-up'!$D$4,$V59-4,0)&amp;"")</f>
        <v/>
      </c>
      <c r="F59" s="216" t="str">
        <f ca="1">IF(ISERROR($V59),"",OFFSET('Smelter Look-up'!$E$4,$V59-4,0))</f>
        <v/>
      </c>
      <c r="G59" s="216" t="str">
        <f ca="1">IF(C59=$X$4,"Enter smelter details", IF(ISERROR($V59),"",OFFSET('Smelter Look-up'!$F$4,$V59-4,0)))</f>
        <v/>
      </c>
      <c r="H59" s="217" t="str">
        <f ca="1">IF(ISERROR($V59),"",OFFSET('Smelter Look-up'!$G$4,$V59-4,0))</f>
        <v/>
      </c>
      <c r="I59" s="218" t="str">
        <f ca="1">IF(ISERROR($V59),"",OFFSET('Smelter Look-up'!$H$4,$V59-4,0))</f>
        <v/>
      </c>
      <c r="J59" s="218" t="str">
        <f ca="1">IF(ISERROR($V59),"",OFFSET('Smelter Look-up'!$I$4,$V59-4,0))</f>
        <v/>
      </c>
      <c r="K59" s="267"/>
      <c r="L59" s="267"/>
      <c r="M59" s="267"/>
      <c r="N59" s="267"/>
      <c r="O59" s="267"/>
      <c r="P59" s="219"/>
      <c r="Q59" s="268"/>
      <c r="R59" s="216" t="str">
        <f ca="1">IF(ISERROR($V59),"",OFFSET('Smelter Look-up'!$C$4,$V59-4,0)&amp;"")</f>
        <v/>
      </c>
      <c r="S59" s="224" t="str">
        <f t="shared" ca="1" si="0"/>
        <v/>
      </c>
      <c r="T59" s="224" t="str">
        <f ca="1">IF(B59="","",IF(ISERROR(MATCH($J59,SorP!$B$1:$B$6230,0)),"",INDIRECT("'SorP'!$A$"&amp;MATCH($J59,SorP!$B$1:$B$6230,0))))</f>
        <v/>
      </c>
      <c r="U59" s="239"/>
      <c r="V59" s="269" t="e">
        <f>IF(C59="",NA(),MATCH($B59&amp;$C59,'Smelter Look-up'!$J:$J,0))</f>
        <v>#N/A</v>
      </c>
      <c r="W59" s="270"/>
      <c r="X59" s="270">
        <f t="shared" ca="1" si="1"/>
        <v>0</v>
      </c>
      <c r="Y59" s="270"/>
      <c r="Z59" s="270"/>
      <c r="AB59" s="272" t="str">
        <f t="shared" si="2"/>
        <v/>
      </c>
    </row>
    <row r="60" spans="1:28" s="271" customFormat="1" ht="20.25">
      <c r="A60" s="215"/>
      <c r="B60" s="216" t="str">
        <f>IF(LEN(A60)=0,"",INDEX('Smelter Look-up'!$A:$A,MATCH($A60,'Smelter Look-up'!$E:$E,0)))</f>
        <v/>
      </c>
      <c r="C60" s="220" t="str">
        <f>IF(LEN(A60)=0,"",INDEX('Smelter Look-up'!$C:$C,MATCH($A60,'Smelter Look-up'!$E:$E,0)))</f>
        <v/>
      </c>
      <c r="D60" s="216"/>
      <c r="E60" s="216" t="str">
        <f ca="1">IF(ISERROR($V60),"",OFFSET('Smelter Look-up'!$D$4,$V60-4,0)&amp;"")</f>
        <v/>
      </c>
      <c r="F60" s="216" t="str">
        <f ca="1">IF(ISERROR($V60),"",OFFSET('Smelter Look-up'!$E$4,$V60-4,0))</f>
        <v/>
      </c>
      <c r="G60" s="216" t="str">
        <f ca="1">IF(C60=$X$4,"Enter smelter details", IF(ISERROR($V60),"",OFFSET('Smelter Look-up'!$F$4,$V60-4,0)))</f>
        <v/>
      </c>
      <c r="H60" s="217" t="str">
        <f ca="1">IF(ISERROR($V60),"",OFFSET('Smelter Look-up'!$G$4,$V60-4,0))</f>
        <v/>
      </c>
      <c r="I60" s="218" t="str">
        <f ca="1">IF(ISERROR($V60),"",OFFSET('Smelter Look-up'!$H$4,$V60-4,0))</f>
        <v/>
      </c>
      <c r="J60" s="218" t="str">
        <f ca="1">IF(ISERROR($V60),"",OFFSET('Smelter Look-up'!$I$4,$V60-4,0))</f>
        <v/>
      </c>
      <c r="K60" s="267"/>
      <c r="L60" s="267"/>
      <c r="M60" s="267"/>
      <c r="N60" s="267"/>
      <c r="O60" s="267"/>
      <c r="P60" s="219"/>
      <c r="Q60" s="268"/>
      <c r="R60" s="216" t="str">
        <f ca="1">IF(ISERROR($V60),"",OFFSET('Smelter Look-up'!$C$4,$V60-4,0)&amp;"")</f>
        <v/>
      </c>
      <c r="S60" s="224" t="str">
        <f t="shared" ca="1" si="0"/>
        <v/>
      </c>
      <c r="T60" s="224" t="str">
        <f ca="1">IF(B60="","",IF(ISERROR(MATCH($J60,SorP!$B$1:$B$6230,0)),"",INDIRECT("'SorP'!$A$"&amp;MATCH($J60,SorP!$B$1:$B$6230,0))))</f>
        <v/>
      </c>
      <c r="U60" s="239"/>
      <c r="V60" s="269" t="e">
        <f>IF(C60="",NA(),MATCH($B60&amp;$C60,'Smelter Look-up'!$J:$J,0))</f>
        <v>#N/A</v>
      </c>
      <c r="W60" s="270"/>
      <c r="X60" s="270">
        <f t="shared" ca="1" si="1"/>
        <v>0</v>
      </c>
      <c r="Y60" s="270"/>
      <c r="Z60" s="270"/>
      <c r="AB60" s="272" t="str">
        <f t="shared" si="2"/>
        <v/>
      </c>
    </row>
    <row r="61" spans="1:28" s="271" customFormat="1" ht="20.25">
      <c r="A61" s="215"/>
      <c r="B61" s="216" t="str">
        <f>IF(LEN(A61)=0,"",INDEX('Smelter Look-up'!$A:$A,MATCH($A61,'Smelter Look-up'!$E:$E,0)))</f>
        <v/>
      </c>
      <c r="C61" s="220" t="str">
        <f>IF(LEN(A61)=0,"",INDEX('Smelter Look-up'!$C:$C,MATCH($A61,'Smelter Look-up'!$E:$E,0)))</f>
        <v/>
      </c>
      <c r="D61" s="216"/>
      <c r="E61" s="216" t="str">
        <f ca="1">IF(ISERROR($V61),"",OFFSET('Smelter Look-up'!$D$4,$V61-4,0)&amp;"")</f>
        <v/>
      </c>
      <c r="F61" s="216" t="str">
        <f ca="1">IF(ISERROR($V61),"",OFFSET('Smelter Look-up'!$E$4,$V61-4,0))</f>
        <v/>
      </c>
      <c r="G61" s="216" t="str">
        <f ca="1">IF(C61=$X$4,"Enter smelter details", IF(ISERROR($V61),"",OFFSET('Smelter Look-up'!$F$4,$V61-4,0)))</f>
        <v/>
      </c>
      <c r="H61" s="217" t="str">
        <f ca="1">IF(ISERROR($V61),"",OFFSET('Smelter Look-up'!$G$4,$V61-4,0))</f>
        <v/>
      </c>
      <c r="I61" s="218" t="str">
        <f ca="1">IF(ISERROR($V61),"",OFFSET('Smelter Look-up'!$H$4,$V61-4,0))</f>
        <v/>
      </c>
      <c r="J61" s="218" t="str">
        <f ca="1">IF(ISERROR($V61),"",OFFSET('Smelter Look-up'!$I$4,$V61-4,0))</f>
        <v/>
      </c>
      <c r="K61" s="267"/>
      <c r="L61" s="267"/>
      <c r="M61" s="267"/>
      <c r="N61" s="267"/>
      <c r="O61" s="267"/>
      <c r="P61" s="219"/>
      <c r="Q61" s="268"/>
      <c r="R61" s="216" t="str">
        <f ca="1">IF(ISERROR($V61),"",OFFSET('Smelter Look-up'!$C$4,$V61-4,0)&amp;"")</f>
        <v/>
      </c>
      <c r="S61" s="224" t="str">
        <f t="shared" ca="1" si="0"/>
        <v/>
      </c>
      <c r="T61" s="224" t="str">
        <f ca="1">IF(B61="","",IF(ISERROR(MATCH($J61,SorP!$B$1:$B$6230,0)),"",INDIRECT("'SorP'!$A$"&amp;MATCH($J61,SorP!$B$1:$B$6230,0))))</f>
        <v/>
      </c>
      <c r="U61" s="239"/>
      <c r="V61" s="269" t="e">
        <f>IF(C61="",NA(),MATCH($B61&amp;$C61,'Smelter Look-up'!$J:$J,0))</f>
        <v>#N/A</v>
      </c>
      <c r="W61" s="270"/>
      <c r="X61" s="270">
        <f t="shared" ca="1" si="1"/>
        <v>0</v>
      </c>
      <c r="Y61" s="270"/>
      <c r="Z61" s="270"/>
      <c r="AB61" s="272" t="str">
        <f t="shared" si="2"/>
        <v/>
      </c>
    </row>
    <row r="62" spans="1:28" s="271" customFormat="1" ht="20.25">
      <c r="A62" s="215"/>
      <c r="B62" s="216" t="str">
        <f>IF(LEN(A62)=0,"",INDEX('Smelter Look-up'!$A:$A,MATCH($A62,'Smelter Look-up'!$E:$E,0)))</f>
        <v/>
      </c>
      <c r="C62" s="220" t="str">
        <f>IF(LEN(A62)=0,"",INDEX('Smelter Look-up'!$C:$C,MATCH($A62,'Smelter Look-up'!$E:$E,0)))</f>
        <v/>
      </c>
      <c r="D62" s="216"/>
      <c r="E62" s="216" t="str">
        <f ca="1">IF(ISERROR($V62),"",OFFSET('Smelter Look-up'!$D$4,$V62-4,0)&amp;"")</f>
        <v/>
      </c>
      <c r="F62" s="216" t="str">
        <f ca="1">IF(ISERROR($V62),"",OFFSET('Smelter Look-up'!$E$4,$V62-4,0))</f>
        <v/>
      </c>
      <c r="G62" s="216" t="str">
        <f ca="1">IF(C62=$X$4,"Enter smelter details", IF(ISERROR($V62),"",OFFSET('Smelter Look-up'!$F$4,$V62-4,0)))</f>
        <v/>
      </c>
      <c r="H62" s="217" t="str">
        <f ca="1">IF(ISERROR($V62),"",OFFSET('Smelter Look-up'!$G$4,$V62-4,0))</f>
        <v/>
      </c>
      <c r="I62" s="218" t="str">
        <f ca="1">IF(ISERROR($V62),"",OFFSET('Smelter Look-up'!$H$4,$V62-4,0))</f>
        <v/>
      </c>
      <c r="J62" s="218" t="str">
        <f ca="1">IF(ISERROR($V62),"",OFFSET('Smelter Look-up'!$I$4,$V62-4,0))</f>
        <v/>
      </c>
      <c r="K62" s="267"/>
      <c r="L62" s="267"/>
      <c r="M62" s="267"/>
      <c r="N62" s="267"/>
      <c r="O62" s="267"/>
      <c r="P62" s="219"/>
      <c r="Q62" s="268"/>
      <c r="R62" s="216" t="str">
        <f ca="1">IF(ISERROR($V62),"",OFFSET('Smelter Look-up'!$C$4,$V62-4,0)&amp;"")</f>
        <v/>
      </c>
      <c r="S62" s="224" t="str">
        <f t="shared" ca="1" si="0"/>
        <v/>
      </c>
      <c r="T62" s="224" t="str">
        <f ca="1">IF(B62="","",IF(ISERROR(MATCH($J62,SorP!$B$1:$B$6230,0)),"",INDIRECT("'SorP'!$A$"&amp;MATCH($J62,SorP!$B$1:$B$6230,0))))</f>
        <v/>
      </c>
      <c r="U62" s="239"/>
      <c r="V62" s="269" t="e">
        <f>IF(C62="",NA(),MATCH($B62&amp;$C62,'Smelter Look-up'!$J:$J,0))</f>
        <v>#N/A</v>
      </c>
      <c r="W62" s="270"/>
      <c r="X62" s="270">
        <f t="shared" ca="1" si="1"/>
        <v>0</v>
      </c>
      <c r="Y62" s="270"/>
      <c r="Z62" s="270"/>
      <c r="AB62" s="272" t="str">
        <f t="shared" si="2"/>
        <v/>
      </c>
    </row>
    <row r="63" spans="1:28" s="271" customFormat="1" ht="20.25">
      <c r="A63" s="215"/>
      <c r="B63" s="216" t="str">
        <f>IF(LEN(A63)=0,"",INDEX('Smelter Look-up'!$A:$A,MATCH($A63,'Smelter Look-up'!$E:$E,0)))</f>
        <v/>
      </c>
      <c r="C63" s="220" t="str">
        <f>IF(LEN(A63)=0,"",INDEX('Smelter Look-up'!$C:$C,MATCH($A63,'Smelter Look-up'!$E:$E,0)))</f>
        <v/>
      </c>
      <c r="D63" s="216"/>
      <c r="E63" s="216" t="str">
        <f ca="1">IF(ISERROR($V63),"",OFFSET('Smelter Look-up'!$D$4,$V63-4,0)&amp;"")</f>
        <v/>
      </c>
      <c r="F63" s="216" t="str">
        <f ca="1">IF(ISERROR($V63),"",OFFSET('Smelter Look-up'!$E$4,$V63-4,0))</f>
        <v/>
      </c>
      <c r="G63" s="216" t="str">
        <f ca="1">IF(C63=$X$4,"Enter smelter details", IF(ISERROR($V63),"",OFFSET('Smelter Look-up'!$F$4,$V63-4,0)))</f>
        <v/>
      </c>
      <c r="H63" s="217" t="str">
        <f ca="1">IF(ISERROR($V63),"",OFFSET('Smelter Look-up'!$G$4,$V63-4,0))</f>
        <v/>
      </c>
      <c r="I63" s="218" t="str">
        <f ca="1">IF(ISERROR($V63),"",OFFSET('Smelter Look-up'!$H$4,$V63-4,0))</f>
        <v/>
      </c>
      <c r="J63" s="218" t="str">
        <f ca="1">IF(ISERROR($V63),"",OFFSET('Smelter Look-up'!$I$4,$V63-4,0))</f>
        <v/>
      </c>
      <c r="K63" s="267"/>
      <c r="L63" s="267"/>
      <c r="M63" s="267"/>
      <c r="N63" s="267"/>
      <c r="O63" s="267"/>
      <c r="P63" s="219"/>
      <c r="Q63" s="268"/>
      <c r="R63" s="216" t="str">
        <f ca="1">IF(ISERROR($V63),"",OFFSET('Smelter Look-up'!$C$4,$V63-4,0)&amp;"")</f>
        <v/>
      </c>
      <c r="S63" s="224" t="str">
        <f t="shared" ca="1" si="0"/>
        <v/>
      </c>
      <c r="T63" s="224" t="str">
        <f ca="1">IF(B63="","",IF(ISERROR(MATCH($J63,SorP!$B$1:$B$6230,0)),"",INDIRECT("'SorP'!$A$"&amp;MATCH($J63,SorP!$B$1:$B$6230,0))))</f>
        <v/>
      </c>
      <c r="U63" s="239"/>
      <c r="V63" s="269" t="e">
        <f>IF(C63="",NA(),MATCH($B63&amp;$C63,'Smelter Look-up'!$J:$J,0))</f>
        <v>#N/A</v>
      </c>
      <c r="W63" s="270"/>
      <c r="X63" s="270">
        <f t="shared" ca="1" si="1"/>
        <v>0</v>
      </c>
      <c r="Y63" s="270"/>
      <c r="Z63" s="270"/>
      <c r="AB63" s="272" t="str">
        <f t="shared" si="2"/>
        <v/>
      </c>
    </row>
    <row r="64" spans="1:28" s="271" customFormat="1" ht="20.25">
      <c r="A64" s="215"/>
      <c r="B64" s="216" t="str">
        <f>IF(LEN(A64)=0,"",INDEX('Smelter Look-up'!$A:$A,MATCH($A64,'Smelter Look-up'!$E:$E,0)))</f>
        <v/>
      </c>
      <c r="C64" s="220" t="str">
        <f>IF(LEN(A64)=0,"",INDEX('Smelter Look-up'!$C:$C,MATCH($A64,'Smelter Look-up'!$E:$E,0)))</f>
        <v/>
      </c>
      <c r="D64" s="216"/>
      <c r="E64" s="216" t="str">
        <f ca="1">IF(ISERROR($V64),"",OFFSET('Smelter Look-up'!$D$4,$V64-4,0)&amp;"")</f>
        <v/>
      </c>
      <c r="F64" s="216" t="str">
        <f ca="1">IF(ISERROR($V64),"",OFFSET('Smelter Look-up'!$E$4,$V64-4,0))</f>
        <v/>
      </c>
      <c r="G64" s="216" t="str">
        <f ca="1">IF(C64=$X$4,"Enter smelter details", IF(ISERROR($V64),"",OFFSET('Smelter Look-up'!$F$4,$V64-4,0)))</f>
        <v/>
      </c>
      <c r="H64" s="217" t="str">
        <f ca="1">IF(ISERROR($V64),"",OFFSET('Smelter Look-up'!$G$4,$V64-4,0))</f>
        <v/>
      </c>
      <c r="I64" s="218" t="str">
        <f ca="1">IF(ISERROR($V64),"",OFFSET('Smelter Look-up'!$H$4,$V64-4,0))</f>
        <v/>
      </c>
      <c r="J64" s="218" t="str">
        <f ca="1">IF(ISERROR($V64),"",OFFSET('Smelter Look-up'!$I$4,$V64-4,0))</f>
        <v/>
      </c>
      <c r="K64" s="267"/>
      <c r="L64" s="267"/>
      <c r="M64" s="267"/>
      <c r="N64" s="267"/>
      <c r="O64" s="267"/>
      <c r="P64" s="219"/>
      <c r="Q64" s="268"/>
      <c r="R64" s="216" t="str">
        <f ca="1">IF(ISERROR($V64),"",OFFSET('Smelter Look-up'!$C$4,$V64-4,0)&amp;"")</f>
        <v/>
      </c>
      <c r="S64" s="224" t="str">
        <f t="shared" ca="1" si="0"/>
        <v/>
      </c>
      <c r="T64" s="224" t="str">
        <f ca="1">IF(B64="","",IF(ISERROR(MATCH($J64,SorP!$B$1:$B$6230,0)),"",INDIRECT("'SorP'!$A$"&amp;MATCH($J64,SorP!$B$1:$B$6230,0))))</f>
        <v/>
      </c>
      <c r="U64" s="239"/>
      <c r="V64" s="269" t="e">
        <f>IF(C64="",NA(),MATCH($B64&amp;$C64,'Smelter Look-up'!$J:$J,0))</f>
        <v>#N/A</v>
      </c>
      <c r="W64" s="270"/>
      <c r="X64" s="270">
        <f t="shared" ca="1" si="1"/>
        <v>0</v>
      </c>
      <c r="Y64" s="270"/>
      <c r="Z64" s="270"/>
      <c r="AB64" s="272" t="str">
        <f t="shared" si="2"/>
        <v/>
      </c>
    </row>
    <row r="65" spans="1:28" s="271" customFormat="1" ht="20.25">
      <c r="A65" s="215"/>
      <c r="B65" s="216" t="str">
        <f>IF(LEN(A65)=0,"",INDEX('Smelter Look-up'!$A:$A,MATCH($A65,'Smelter Look-up'!$E:$E,0)))</f>
        <v/>
      </c>
      <c r="C65" s="220" t="str">
        <f>IF(LEN(A65)=0,"",INDEX('Smelter Look-up'!$C:$C,MATCH($A65,'Smelter Look-up'!$E:$E,0)))</f>
        <v/>
      </c>
      <c r="D65" s="216"/>
      <c r="E65" s="216" t="str">
        <f ca="1">IF(ISERROR($V65),"",OFFSET('Smelter Look-up'!$D$4,$V65-4,0)&amp;"")</f>
        <v/>
      </c>
      <c r="F65" s="216" t="str">
        <f ca="1">IF(ISERROR($V65),"",OFFSET('Smelter Look-up'!$E$4,$V65-4,0))</f>
        <v/>
      </c>
      <c r="G65" s="216" t="str">
        <f ca="1">IF(C65=$X$4,"Enter smelter details", IF(ISERROR($V65),"",OFFSET('Smelter Look-up'!$F$4,$V65-4,0)))</f>
        <v/>
      </c>
      <c r="H65" s="217" t="str">
        <f ca="1">IF(ISERROR($V65),"",OFFSET('Smelter Look-up'!$G$4,$V65-4,0))</f>
        <v/>
      </c>
      <c r="I65" s="218" t="str">
        <f ca="1">IF(ISERROR($V65),"",OFFSET('Smelter Look-up'!$H$4,$V65-4,0))</f>
        <v/>
      </c>
      <c r="J65" s="218" t="str">
        <f ca="1">IF(ISERROR($V65),"",OFFSET('Smelter Look-up'!$I$4,$V65-4,0))</f>
        <v/>
      </c>
      <c r="K65" s="267"/>
      <c r="L65" s="267"/>
      <c r="M65" s="267"/>
      <c r="N65" s="267"/>
      <c r="O65" s="267"/>
      <c r="P65" s="219"/>
      <c r="Q65" s="268"/>
      <c r="R65" s="216" t="str">
        <f ca="1">IF(ISERROR($V65),"",OFFSET('Smelter Look-up'!$C$4,$V65-4,0)&amp;"")</f>
        <v/>
      </c>
      <c r="S65" s="224" t="str">
        <f t="shared" ca="1" si="0"/>
        <v/>
      </c>
      <c r="T65" s="224" t="str">
        <f ca="1">IF(B65="","",IF(ISERROR(MATCH($J65,SorP!$B$1:$B$6230,0)),"",INDIRECT("'SorP'!$A$"&amp;MATCH($J65,SorP!$B$1:$B$6230,0))))</f>
        <v/>
      </c>
      <c r="U65" s="239"/>
      <c r="V65" s="269" t="e">
        <f>IF(C65="",NA(),MATCH($B65&amp;$C65,'Smelter Look-up'!$J:$J,0))</f>
        <v>#N/A</v>
      </c>
      <c r="W65" s="270"/>
      <c r="X65" s="270">
        <f t="shared" ca="1" si="1"/>
        <v>0</v>
      </c>
      <c r="Y65" s="270"/>
      <c r="Z65" s="270"/>
      <c r="AB65" s="272" t="str">
        <f t="shared" si="2"/>
        <v/>
      </c>
    </row>
    <row r="66" spans="1:28" s="271" customFormat="1" ht="20.25">
      <c r="A66" s="215"/>
      <c r="B66" s="216" t="str">
        <f>IF(LEN(A66)=0,"",INDEX('Smelter Look-up'!$A:$A,MATCH($A66,'Smelter Look-up'!$E:$E,0)))</f>
        <v/>
      </c>
      <c r="C66" s="220" t="str">
        <f>IF(LEN(A66)=0,"",INDEX('Smelter Look-up'!$C:$C,MATCH($A66,'Smelter Look-up'!$E:$E,0)))</f>
        <v/>
      </c>
      <c r="D66" s="216"/>
      <c r="E66" s="216" t="str">
        <f ca="1">IF(ISERROR($V66),"",OFFSET('Smelter Look-up'!$D$4,$V66-4,0)&amp;"")</f>
        <v/>
      </c>
      <c r="F66" s="216" t="str">
        <f ca="1">IF(ISERROR($V66),"",OFFSET('Smelter Look-up'!$E$4,$V66-4,0))</f>
        <v/>
      </c>
      <c r="G66" s="216" t="str">
        <f ca="1">IF(C66=$X$4,"Enter smelter details", IF(ISERROR($V66),"",OFFSET('Smelter Look-up'!$F$4,$V66-4,0)))</f>
        <v/>
      </c>
      <c r="H66" s="217" t="str">
        <f ca="1">IF(ISERROR($V66),"",OFFSET('Smelter Look-up'!$G$4,$V66-4,0))</f>
        <v/>
      </c>
      <c r="I66" s="218" t="str">
        <f ca="1">IF(ISERROR($V66),"",OFFSET('Smelter Look-up'!$H$4,$V66-4,0))</f>
        <v/>
      </c>
      <c r="J66" s="218" t="str">
        <f ca="1">IF(ISERROR($V66),"",OFFSET('Smelter Look-up'!$I$4,$V66-4,0))</f>
        <v/>
      </c>
      <c r="K66" s="267"/>
      <c r="L66" s="267"/>
      <c r="M66" s="267"/>
      <c r="N66" s="267"/>
      <c r="O66" s="267"/>
      <c r="P66" s="219"/>
      <c r="Q66" s="268"/>
      <c r="R66" s="216" t="str">
        <f ca="1">IF(ISERROR($V66),"",OFFSET('Smelter Look-up'!$C$4,$V66-4,0)&amp;"")</f>
        <v/>
      </c>
      <c r="S66" s="224" t="str">
        <f t="shared" ca="1" si="0"/>
        <v/>
      </c>
      <c r="T66" s="224" t="str">
        <f ca="1">IF(B66="","",IF(ISERROR(MATCH($J66,SorP!$B$1:$B$6230,0)),"",INDIRECT("'SorP'!$A$"&amp;MATCH($J66,SorP!$B$1:$B$6230,0))))</f>
        <v/>
      </c>
      <c r="U66" s="239"/>
      <c r="V66" s="269" t="e">
        <f>IF(C66="",NA(),MATCH($B66&amp;$C66,'Smelter Look-up'!$J:$J,0))</f>
        <v>#N/A</v>
      </c>
      <c r="W66" s="270"/>
      <c r="X66" s="270">
        <f t="shared" ca="1" si="1"/>
        <v>0</v>
      </c>
      <c r="Y66" s="270"/>
      <c r="Z66" s="270"/>
      <c r="AB66" s="272" t="str">
        <f t="shared" si="2"/>
        <v/>
      </c>
    </row>
    <row r="67" spans="1:28" s="271" customFormat="1" ht="20.25">
      <c r="A67" s="215"/>
      <c r="B67" s="216" t="str">
        <f>IF(LEN(A67)=0,"",INDEX('Smelter Look-up'!$A:$A,MATCH($A67,'Smelter Look-up'!$E:$E,0)))</f>
        <v/>
      </c>
      <c r="C67" s="220" t="str">
        <f>IF(LEN(A67)=0,"",INDEX('Smelter Look-up'!$C:$C,MATCH($A67,'Smelter Look-up'!$E:$E,0)))</f>
        <v/>
      </c>
      <c r="D67" s="216"/>
      <c r="E67" s="216" t="str">
        <f ca="1">IF(ISERROR($V67),"",OFFSET('Smelter Look-up'!$D$4,$V67-4,0)&amp;"")</f>
        <v/>
      </c>
      <c r="F67" s="216" t="str">
        <f ca="1">IF(ISERROR($V67),"",OFFSET('Smelter Look-up'!$E$4,$V67-4,0))</f>
        <v/>
      </c>
      <c r="G67" s="216" t="str">
        <f ca="1">IF(C67=$X$4,"Enter smelter details", IF(ISERROR($V67),"",OFFSET('Smelter Look-up'!$F$4,$V67-4,0)))</f>
        <v/>
      </c>
      <c r="H67" s="217" t="str">
        <f ca="1">IF(ISERROR($V67),"",OFFSET('Smelter Look-up'!$G$4,$V67-4,0))</f>
        <v/>
      </c>
      <c r="I67" s="218" t="str">
        <f ca="1">IF(ISERROR($V67),"",OFFSET('Smelter Look-up'!$H$4,$V67-4,0))</f>
        <v/>
      </c>
      <c r="J67" s="218" t="str">
        <f ca="1">IF(ISERROR($V67),"",OFFSET('Smelter Look-up'!$I$4,$V67-4,0))</f>
        <v/>
      </c>
      <c r="K67" s="267"/>
      <c r="L67" s="267"/>
      <c r="M67" s="267"/>
      <c r="N67" s="267"/>
      <c r="O67" s="267"/>
      <c r="P67" s="219"/>
      <c r="Q67" s="268"/>
      <c r="R67" s="216" t="str">
        <f ca="1">IF(ISERROR($V67),"",OFFSET('Smelter Look-up'!$C$4,$V67-4,0)&amp;"")</f>
        <v/>
      </c>
      <c r="S67" s="224" t="str">
        <f t="shared" ca="1" si="0"/>
        <v/>
      </c>
      <c r="T67" s="224" t="str">
        <f ca="1">IF(B67="","",IF(ISERROR(MATCH($J67,SorP!$B$1:$B$6230,0)),"",INDIRECT("'SorP'!$A$"&amp;MATCH($J67,SorP!$B$1:$B$6230,0))))</f>
        <v/>
      </c>
      <c r="U67" s="239"/>
      <c r="V67" s="269" t="e">
        <f>IF(C67="",NA(),MATCH($B67&amp;$C67,'Smelter Look-up'!$J:$J,0))</f>
        <v>#N/A</v>
      </c>
      <c r="W67" s="270"/>
      <c r="X67" s="270">
        <f t="shared" ca="1" si="1"/>
        <v>0</v>
      </c>
      <c r="Y67" s="270"/>
      <c r="Z67" s="270"/>
      <c r="AB67" s="272" t="str">
        <f t="shared" si="2"/>
        <v/>
      </c>
    </row>
    <row r="68" spans="1:28" s="271" customFormat="1" ht="20.25">
      <c r="A68" s="215"/>
      <c r="B68" s="216" t="str">
        <f>IF(LEN(A68)=0,"",INDEX('Smelter Look-up'!$A:$A,MATCH($A68,'Smelter Look-up'!$E:$E,0)))</f>
        <v/>
      </c>
      <c r="C68" s="220" t="str">
        <f>IF(LEN(A68)=0,"",INDEX('Smelter Look-up'!$C:$C,MATCH($A68,'Smelter Look-up'!$E:$E,0)))</f>
        <v/>
      </c>
      <c r="D68" s="216"/>
      <c r="E68" s="216" t="str">
        <f ca="1">IF(ISERROR($V68),"",OFFSET('Smelter Look-up'!$D$4,$V68-4,0)&amp;"")</f>
        <v/>
      </c>
      <c r="F68" s="216" t="str">
        <f ca="1">IF(ISERROR($V68),"",OFFSET('Smelter Look-up'!$E$4,$V68-4,0))</f>
        <v/>
      </c>
      <c r="G68" s="216" t="str">
        <f ca="1">IF(C68=$X$4,"Enter smelter details", IF(ISERROR($V68),"",OFFSET('Smelter Look-up'!$F$4,$V68-4,0)))</f>
        <v/>
      </c>
      <c r="H68" s="217" t="str">
        <f ca="1">IF(ISERROR($V68),"",OFFSET('Smelter Look-up'!$G$4,$V68-4,0))</f>
        <v/>
      </c>
      <c r="I68" s="218" t="str">
        <f ca="1">IF(ISERROR($V68),"",OFFSET('Smelter Look-up'!$H$4,$V68-4,0))</f>
        <v/>
      </c>
      <c r="J68" s="218" t="str">
        <f ca="1">IF(ISERROR($V68),"",OFFSET('Smelter Look-up'!$I$4,$V68-4,0))</f>
        <v/>
      </c>
      <c r="K68" s="267"/>
      <c r="L68" s="267"/>
      <c r="M68" s="267"/>
      <c r="N68" s="267"/>
      <c r="O68" s="267"/>
      <c r="P68" s="219"/>
      <c r="Q68" s="268"/>
      <c r="R68" s="216" t="str">
        <f ca="1">IF(ISERROR($V68),"",OFFSET('Smelter Look-up'!$C$4,$V68-4,0)&amp;"")</f>
        <v/>
      </c>
      <c r="S68" s="224" t="str">
        <f t="shared" ca="1" si="0"/>
        <v/>
      </c>
      <c r="T68" s="224" t="str">
        <f ca="1">IF(B68="","",IF(ISERROR(MATCH($J68,SorP!$B$1:$B$6230,0)),"",INDIRECT("'SorP'!$A$"&amp;MATCH($J68,SorP!$B$1:$B$6230,0))))</f>
        <v/>
      </c>
      <c r="U68" s="239"/>
      <c r="V68" s="269" t="e">
        <f>IF(C68="",NA(),MATCH($B68&amp;$C68,'Smelter Look-up'!$J:$J,0))</f>
        <v>#N/A</v>
      </c>
      <c r="W68" s="270"/>
      <c r="X68" s="270">
        <f t="shared" ca="1" si="1"/>
        <v>0</v>
      </c>
      <c r="Y68" s="270"/>
      <c r="Z68" s="270"/>
      <c r="AB68" s="272" t="str">
        <f t="shared" si="2"/>
        <v/>
      </c>
    </row>
    <row r="69" spans="1:28" s="271" customFormat="1" ht="20.25">
      <c r="A69" s="215"/>
      <c r="B69" s="216" t="str">
        <f>IF(LEN(A69)=0,"",INDEX('Smelter Look-up'!$A:$A,MATCH($A69,'Smelter Look-up'!$E:$E,0)))</f>
        <v/>
      </c>
      <c r="C69" s="220" t="str">
        <f>IF(LEN(A69)=0,"",INDEX('Smelter Look-up'!$C:$C,MATCH($A69,'Smelter Look-up'!$E:$E,0)))</f>
        <v/>
      </c>
      <c r="D69" s="216"/>
      <c r="E69" s="216" t="str">
        <f ca="1">IF(ISERROR($V69),"",OFFSET('Smelter Look-up'!$D$4,$V69-4,0)&amp;"")</f>
        <v/>
      </c>
      <c r="F69" s="216" t="str">
        <f ca="1">IF(ISERROR($V69),"",OFFSET('Smelter Look-up'!$E$4,$V69-4,0))</f>
        <v/>
      </c>
      <c r="G69" s="216" t="str">
        <f ca="1">IF(C69=$X$4,"Enter smelter details", IF(ISERROR($V69),"",OFFSET('Smelter Look-up'!$F$4,$V69-4,0)))</f>
        <v/>
      </c>
      <c r="H69" s="217" t="str">
        <f ca="1">IF(ISERROR($V69),"",OFFSET('Smelter Look-up'!$G$4,$V69-4,0))</f>
        <v/>
      </c>
      <c r="I69" s="218" t="str">
        <f ca="1">IF(ISERROR($V69),"",OFFSET('Smelter Look-up'!$H$4,$V69-4,0))</f>
        <v/>
      </c>
      <c r="J69" s="218" t="str">
        <f ca="1">IF(ISERROR($V69),"",OFFSET('Smelter Look-up'!$I$4,$V69-4,0))</f>
        <v/>
      </c>
      <c r="K69" s="267"/>
      <c r="L69" s="267"/>
      <c r="M69" s="267"/>
      <c r="N69" s="267"/>
      <c r="O69" s="267"/>
      <c r="P69" s="219"/>
      <c r="Q69" s="268"/>
      <c r="R69" s="216" t="str">
        <f ca="1">IF(ISERROR($V69),"",OFFSET('Smelter Look-up'!$C$4,$V69-4,0)&amp;"")</f>
        <v/>
      </c>
      <c r="S69" s="224" t="str">
        <f t="shared" ref="S69:S132" ca="1" si="3">IF(B69="","",IF(ISERROR(MATCH($E69,CL,0)),"Unknown",INDIRECT("'C'!$A$"&amp;MATCH($E69,CL,0)+1)))</f>
        <v/>
      </c>
      <c r="T69" s="224" t="str">
        <f ca="1">IF(B69="","",IF(ISERROR(MATCH($J69,SorP!$B$1:$B$6230,0)),"",INDIRECT("'SorP'!$A$"&amp;MATCH($J69,SorP!$B$1:$B$6230,0))))</f>
        <v/>
      </c>
      <c r="U69" s="239"/>
      <c r="V69" s="269" t="e">
        <f>IF(C69="",NA(),MATCH($B69&amp;$C69,'Smelter Look-up'!$J:$J,0))</f>
        <v>#N/A</v>
      </c>
      <c r="W69" s="270"/>
      <c r="X69" s="270">
        <f t="shared" ref="X69:X132" ca="1" si="4">IF(AND(C69="Smelter not listed",OR(LEN(D69)=0,LEN(E69)=0)),1,0)</f>
        <v>0</v>
      </c>
      <c r="Y69" s="270"/>
      <c r="Z69" s="270"/>
      <c r="AB69" s="272" t="str">
        <f t="shared" ref="AB69:AB132" si="5">B69&amp;C69</f>
        <v/>
      </c>
    </row>
    <row r="70" spans="1:28" s="271" customFormat="1" ht="20.25">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ca="1" si="3"/>
        <v/>
      </c>
      <c r="T70" s="224" t="str">
        <f ca="1">IF(B70="","",IF(ISERROR(MATCH($J70,SorP!$B$1:$B$6230,0)),"",INDIRECT("'SorP'!$A$"&amp;MATCH($J70,SorP!$B$1:$B$6230,0))))</f>
        <v/>
      </c>
      <c r="U70" s="239"/>
      <c r="V70" s="269" t="e">
        <f>IF(C70="",NA(),MATCH($B70&amp;$C70,'Smelter Look-up'!$J:$J,0))</f>
        <v>#N/A</v>
      </c>
      <c r="W70" s="270"/>
      <c r="X70" s="270">
        <f t="shared" ca="1" si="4"/>
        <v>0</v>
      </c>
      <c r="Y70" s="270"/>
      <c r="Z70" s="270"/>
      <c r="AB70" s="272" t="str">
        <f t="shared" si="5"/>
        <v/>
      </c>
    </row>
    <row r="71" spans="1:28" s="271" customFormat="1" ht="20.25">
      <c r="A71" s="215"/>
      <c r="B71" s="216" t="str">
        <f>IF(LEN(A71)=0,"",INDEX('Smelter Look-up'!$A:$A,MATCH($A71,'Smelter Look-up'!$E:$E,0)))</f>
        <v/>
      </c>
      <c r="C71" s="220" t="str">
        <f>IF(LEN(A71)=0,"",INDEX('Smelter Look-up'!$C:$C,MATCH($A71,'Smelter Look-up'!$E:$E,0)))</f>
        <v/>
      </c>
      <c r="D71" s="216"/>
      <c r="E71" s="216" t="str">
        <f ca="1">IF(ISERROR($V71),"",OFFSET('Smelter Look-up'!$D$4,$V71-4,0)&amp;"")</f>
        <v/>
      </c>
      <c r="F71" s="216" t="str">
        <f ca="1">IF(ISERROR($V71),"",OFFSET('Smelter Look-up'!$E$4,$V71-4,0))</f>
        <v/>
      </c>
      <c r="G71" s="216" t="str">
        <f ca="1">IF(C71=$X$4,"Enter smelter details", IF(ISERROR($V71),"",OFFSET('Smelter Look-up'!$F$4,$V71-4,0)))</f>
        <v/>
      </c>
      <c r="H71" s="217" t="str">
        <f ca="1">IF(ISERROR($V71),"",OFFSET('Smelter Look-up'!$G$4,$V71-4,0))</f>
        <v/>
      </c>
      <c r="I71" s="218" t="str">
        <f ca="1">IF(ISERROR($V71),"",OFFSET('Smelter Look-up'!$H$4,$V71-4,0))</f>
        <v/>
      </c>
      <c r="J71" s="218" t="str">
        <f ca="1">IF(ISERROR($V71),"",OFFSET('Smelter Look-up'!$I$4,$V71-4,0))</f>
        <v/>
      </c>
      <c r="K71" s="267"/>
      <c r="L71" s="267"/>
      <c r="M71" s="267"/>
      <c r="N71" s="267"/>
      <c r="O71" s="267"/>
      <c r="P71" s="219"/>
      <c r="Q71" s="268"/>
      <c r="R71" s="216" t="str">
        <f ca="1">IF(ISERROR($V71),"",OFFSET('Smelter Look-up'!$C$4,$V71-4,0)&amp;"")</f>
        <v/>
      </c>
      <c r="S71" s="224" t="str">
        <f t="shared" ca="1" si="3"/>
        <v/>
      </c>
      <c r="T71" s="224" t="str">
        <f ca="1">IF(B71="","",IF(ISERROR(MATCH($J71,SorP!$B$1:$B$6230,0)),"",INDIRECT("'SorP'!$A$"&amp;MATCH($J71,SorP!$B$1:$B$6230,0))))</f>
        <v/>
      </c>
      <c r="U71" s="239"/>
      <c r="V71" s="269" t="e">
        <f>IF(C71="",NA(),MATCH($B71&amp;$C71,'Smelter Look-up'!$J:$J,0))</f>
        <v>#N/A</v>
      </c>
      <c r="W71" s="270"/>
      <c r="X71" s="270">
        <f t="shared" ca="1" si="4"/>
        <v>0</v>
      </c>
      <c r="Y71" s="270"/>
      <c r="Z71" s="270"/>
      <c r="AB71" s="272" t="str">
        <f t="shared" si="5"/>
        <v/>
      </c>
    </row>
    <row r="72" spans="1:28" s="271" customFormat="1" ht="20.25">
      <c r="A72" s="215"/>
      <c r="B72" s="216" t="str">
        <f>IF(LEN(A72)=0,"",INDEX('Smelter Look-up'!$A:$A,MATCH($A72,'Smelter Look-up'!$E:$E,0)))</f>
        <v/>
      </c>
      <c r="C72" s="220" t="str">
        <f>IF(LEN(A72)=0,"",INDEX('Smelter Look-up'!$C:$C,MATCH($A72,'Smelter Look-up'!$E:$E,0)))</f>
        <v/>
      </c>
      <c r="D72" s="216"/>
      <c r="E72" s="216" t="str">
        <f ca="1">IF(ISERROR($V72),"",OFFSET('Smelter Look-up'!$D$4,$V72-4,0)&amp;"")</f>
        <v/>
      </c>
      <c r="F72" s="216" t="str">
        <f ca="1">IF(ISERROR($V72),"",OFFSET('Smelter Look-up'!$E$4,$V72-4,0))</f>
        <v/>
      </c>
      <c r="G72" s="216" t="str">
        <f ca="1">IF(C72=$X$4,"Enter smelter details", IF(ISERROR($V72),"",OFFSET('Smelter Look-up'!$F$4,$V72-4,0)))</f>
        <v/>
      </c>
      <c r="H72" s="217" t="str">
        <f ca="1">IF(ISERROR($V72),"",OFFSET('Smelter Look-up'!$G$4,$V72-4,0))</f>
        <v/>
      </c>
      <c r="I72" s="218" t="str">
        <f ca="1">IF(ISERROR($V72),"",OFFSET('Smelter Look-up'!$H$4,$V72-4,0))</f>
        <v/>
      </c>
      <c r="J72" s="218" t="str">
        <f ca="1">IF(ISERROR($V72),"",OFFSET('Smelter Look-up'!$I$4,$V72-4,0))</f>
        <v/>
      </c>
      <c r="K72" s="267"/>
      <c r="L72" s="267"/>
      <c r="M72" s="267"/>
      <c r="N72" s="267"/>
      <c r="O72" s="267"/>
      <c r="P72" s="219"/>
      <c r="Q72" s="268"/>
      <c r="R72" s="216" t="str">
        <f ca="1">IF(ISERROR($V72),"",OFFSET('Smelter Look-up'!$C$4,$V72-4,0)&amp;"")</f>
        <v/>
      </c>
      <c r="S72" s="224" t="str">
        <f t="shared" ca="1" si="3"/>
        <v/>
      </c>
      <c r="T72" s="224" t="str">
        <f ca="1">IF(B72="","",IF(ISERROR(MATCH($J72,SorP!$B$1:$B$6230,0)),"",INDIRECT("'SorP'!$A$"&amp;MATCH($J72,SorP!$B$1:$B$6230,0))))</f>
        <v/>
      </c>
      <c r="U72" s="239"/>
      <c r="V72" s="269" t="e">
        <f>IF(C72="",NA(),MATCH($B72&amp;$C72,'Smelter Look-up'!$J:$J,0))</f>
        <v>#N/A</v>
      </c>
      <c r="W72" s="270"/>
      <c r="X72" s="270">
        <f t="shared" ca="1" si="4"/>
        <v>0</v>
      </c>
      <c r="Y72" s="270"/>
      <c r="Z72" s="270"/>
      <c r="AB72" s="272" t="str">
        <f t="shared" si="5"/>
        <v/>
      </c>
    </row>
    <row r="73" spans="1:28" s="271" customFormat="1" ht="20.25">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3"/>
        <v/>
      </c>
      <c r="T73" s="224" t="str">
        <f ca="1">IF(B73="","",IF(ISERROR(MATCH($J73,SorP!$B$1:$B$6230,0)),"",INDIRECT("'SorP'!$A$"&amp;MATCH($J73,SorP!$B$1:$B$6230,0))))</f>
        <v/>
      </c>
      <c r="U73" s="239"/>
      <c r="V73" s="269" t="e">
        <f>IF(C73="",NA(),MATCH($B73&amp;$C73,'Smelter Look-up'!$J:$J,0))</f>
        <v>#N/A</v>
      </c>
      <c r="W73" s="270"/>
      <c r="X73" s="270">
        <f t="shared" ca="1" si="4"/>
        <v>0</v>
      </c>
      <c r="Y73" s="270"/>
      <c r="Z73" s="270"/>
      <c r="AB73" s="272" t="str">
        <f t="shared" si="5"/>
        <v/>
      </c>
    </row>
    <row r="74" spans="1:28" s="271" customFormat="1" ht="20.25">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3"/>
        <v/>
      </c>
      <c r="T74" s="224" t="str">
        <f ca="1">IF(B74="","",IF(ISERROR(MATCH($J74,SorP!$B$1:$B$6230,0)),"",INDIRECT("'SorP'!$A$"&amp;MATCH($J74,SorP!$B$1:$B$6230,0))))</f>
        <v/>
      </c>
      <c r="U74" s="239"/>
      <c r="V74" s="269" t="e">
        <f>IF(C74="",NA(),MATCH($B74&amp;$C74,'Smelter Look-up'!$J:$J,0))</f>
        <v>#N/A</v>
      </c>
      <c r="W74" s="270"/>
      <c r="X74" s="270">
        <f t="shared" ca="1" si="4"/>
        <v>0</v>
      </c>
      <c r="Y74" s="270"/>
      <c r="Z74" s="270"/>
      <c r="AB74" s="272" t="str">
        <f t="shared" si="5"/>
        <v/>
      </c>
    </row>
    <row r="75" spans="1:28" s="271" customFormat="1" ht="20.25">
      <c r="A75" s="215"/>
      <c r="B75" s="216" t="str">
        <f>IF(LEN(A75)=0,"",INDEX('Smelter Look-up'!$A:$A,MATCH($A75,'Smelter Look-up'!$E:$E,0)))</f>
        <v/>
      </c>
      <c r="C75" s="220" t="str">
        <f>IF(LEN(A75)=0,"",INDEX('Smelter Look-up'!$C:$C,MATCH($A75,'Smelter Look-up'!$E:$E,0)))</f>
        <v/>
      </c>
      <c r="D75" s="216"/>
      <c r="E75" s="216" t="str">
        <f ca="1">IF(ISERROR($V75),"",OFFSET('Smelter Look-up'!$D$4,$V75-4,0)&amp;"")</f>
        <v/>
      </c>
      <c r="F75" s="216" t="str">
        <f ca="1">IF(ISERROR($V75),"",OFFSET('Smelter Look-up'!$E$4,$V75-4,0))</f>
        <v/>
      </c>
      <c r="G75" s="216" t="str">
        <f ca="1">IF(C75=$X$4,"Enter smelter details", IF(ISERROR($V75),"",OFFSET('Smelter Look-up'!$F$4,$V75-4,0)))</f>
        <v/>
      </c>
      <c r="H75" s="217" t="str">
        <f ca="1">IF(ISERROR($V75),"",OFFSET('Smelter Look-up'!$G$4,$V75-4,0))</f>
        <v/>
      </c>
      <c r="I75" s="218" t="str">
        <f ca="1">IF(ISERROR($V75),"",OFFSET('Smelter Look-up'!$H$4,$V75-4,0))</f>
        <v/>
      </c>
      <c r="J75" s="218" t="str">
        <f ca="1">IF(ISERROR($V75),"",OFFSET('Smelter Look-up'!$I$4,$V75-4,0))</f>
        <v/>
      </c>
      <c r="K75" s="267"/>
      <c r="L75" s="267"/>
      <c r="M75" s="267"/>
      <c r="N75" s="267"/>
      <c r="O75" s="267"/>
      <c r="P75" s="219"/>
      <c r="Q75" s="268"/>
      <c r="R75" s="216" t="str">
        <f ca="1">IF(ISERROR($V75),"",OFFSET('Smelter Look-up'!$C$4,$V75-4,0)&amp;"")</f>
        <v/>
      </c>
      <c r="S75" s="224" t="str">
        <f t="shared" ca="1" si="3"/>
        <v/>
      </c>
      <c r="T75" s="224" t="str">
        <f ca="1">IF(B75="","",IF(ISERROR(MATCH($J75,SorP!$B$1:$B$6230,0)),"",INDIRECT("'SorP'!$A$"&amp;MATCH($J75,SorP!$B$1:$B$6230,0))))</f>
        <v/>
      </c>
      <c r="U75" s="239"/>
      <c r="V75" s="269" t="e">
        <f>IF(C75="",NA(),MATCH($B75&amp;$C75,'Smelter Look-up'!$J:$J,0))</f>
        <v>#N/A</v>
      </c>
      <c r="W75" s="270"/>
      <c r="X75" s="270">
        <f t="shared" ca="1" si="4"/>
        <v>0</v>
      </c>
      <c r="Y75" s="270"/>
      <c r="Z75" s="270"/>
      <c r="AB75" s="272" t="str">
        <f t="shared" si="5"/>
        <v/>
      </c>
    </row>
    <row r="76" spans="1:28" s="271" customFormat="1" ht="20.25">
      <c r="A76" s="215"/>
      <c r="B76" s="216" t="str">
        <f>IF(LEN(A76)=0,"",INDEX('Smelter Look-up'!$A:$A,MATCH($A76,'Smelter Look-up'!$E:$E,0)))</f>
        <v/>
      </c>
      <c r="C76" s="220" t="str">
        <f>IF(LEN(A76)=0,"",INDEX('Smelter Look-up'!$C:$C,MATCH($A76,'Smelter Look-up'!$E:$E,0)))</f>
        <v/>
      </c>
      <c r="D76" s="216"/>
      <c r="E76" s="216" t="str">
        <f ca="1">IF(ISERROR($V76),"",OFFSET('Smelter Look-up'!$D$4,$V76-4,0)&amp;"")</f>
        <v/>
      </c>
      <c r="F76" s="216" t="str">
        <f ca="1">IF(ISERROR($V76),"",OFFSET('Smelter Look-up'!$E$4,$V76-4,0))</f>
        <v/>
      </c>
      <c r="G76" s="216" t="str">
        <f ca="1">IF(C76=$X$4,"Enter smelter details", IF(ISERROR($V76),"",OFFSET('Smelter Look-up'!$F$4,$V76-4,0)))</f>
        <v/>
      </c>
      <c r="H76" s="217" t="str">
        <f ca="1">IF(ISERROR($V76),"",OFFSET('Smelter Look-up'!$G$4,$V76-4,0))</f>
        <v/>
      </c>
      <c r="I76" s="218" t="str">
        <f ca="1">IF(ISERROR($V76),"",OFFSET('Smelter Look-up'!$H$4,$V76-4,0))</f>
        <v/>
      </c>
      <c r="J76" s="218" t="str">
        <f ca="1">IF(ISERROR($V76),"",OFFSET('Smelter Look-up'!$I$4,$V76-4,0))</f>
        <v/>
      </c>
      <c r="K76" s="267"/>
      <c r="L76" s="267"/>
      <c r="M76" s="267"/>
      <c r="N76" s="267"/>
      <c r="O76" s="267"/>
      <c r="P76" s="219"/>
      <c r="Q76" s="268"/>
      <c r="R76" s="216" t="str">
        <f ca="1">IF(ISERROR($V76),"",OFFSET('Smelter Look-up'!$C$4,$V76-4,0)&amp;"")</f>
        <v/>
      </c>
      <c r="S76" s="224" t="str">
        <f t="shared" ca="1" si="3"/>
        <v/>
      </c>
      <c r="T76" s="224" t="str">
        <f ca="1">IF(B76="","",IF(ISERROR(MATCH($J76,SorP!$B$1:$B$6230,0)),"",INDIRECT("'SorP'!$A$"&amp;MATCH($J76,SorP!$B$1:$B$6230,0))))</f>
        <v/>
      </c>
      <c r="U76" s="239"/>
      <c r="V76" s="269" t="e">
        <f>IF(C76="",NA(),MATCH($B76&amp;$C76,'Smelter Look-up'!$J:$J,0))</f>
        <v>#N/A</v>
      </c>
      <c r="W76" s="270"/>
      <c r="X76" s="270">
        <f t="shared" ca="1" si="4"/>
        <v>0</v>
      </c>
      <c r="Y76" s="270"/>
      <c r="Z76" s="270"/>
      <c r="AB76" s="272" t="str">
        <f t="shared" si="5"/>
        <v/>
      </c>
    </row>
    <row r="77" spans="1:28" s="271" customFormat="1" ht="20.25">
      <c r="A77" s="215"/>
      <c r="B77" s="216" t="str">
        <f>IF(LEN(A77)=0,"",INDEX('Smelter Look-up'!$A:$A,MATCH($A77,'Smelter Look-up'!$E:$E,0)))</f>
        <v/>
      </c>
      <c r="C77" s="220" t="str">
        <f>IF(LEN(A77)=0,"",INDEX('Smelter Look-up'!$C:$C,MATCH($A77,'Smelter Look-up'!$E:$E,0)))</f>
        <v/>
      </c>
      <c r="D77" s="216"/>
      <c r="E77" s="216" t="str">
        <f ca="1">IF(ISERROR($V77),"",OFFSET('Smelter Look-up'!$D$4,$V77-4,0)&amp;"")</f>
        <v/>
      </c>
      <c r="F77" s="216" t="str">
        <f ca="1">IF(ISERROR($V77),"",OFFSET('Smelter Look-up'!$E$4,$V77-4,0))</f>
        <v/>
      </c>
      <c r="G77" s="216" t="str">
        <f ca="1">IF(C77=$X$4,"Enter smelter details", IF(ISERROR($V77),"",OFFSET('Smelter Look-up'!$F$4,$V77-4,0)))</f>
        <v/>
      </c>
      <c r="H77" s="217" t="str">
        <f ca="1">IF(ISERROR($V77),"",OFFSET('Smelter Look-up'!$G$4,$V77-4,0))</f>
        <v/>
      </c>
      <c r="I77" s="218" t="str">
        <f ca="1">IF(ISERROR($V77),"",OFFSET('Smelter Look-up'!$H$4,$V77-4,0))</f>
        <v/>
      </c>
      <c r="J77" s="218" t="str">
        <f ca="1">IF(ISERROR($V77),"",OFFSET('Smelter Look-up'!$I$4,$V77-4,0))</f>
        <v/>
      </c>
      <c r="K77" s="267"/>
      <c r="L77" s="267"/>
      <c r="M77" s="267"/>
      <c r="N77" s="267"/>
      <c r="O77" s="267"/>
      <c r="P77" s="219"/>
      <c r="Q77" s="268"/>
      <c r="R77" s="216" t="str">
        <f ca="1">IF(ISERROR($V77),"",OFFSET('Smelter Look-up'!$C$4,$V77-4,0)&amp;"")</f>
        <v/>
      </c>
      <c r="S77" s="224" t="str">
        <f t="shared" ca="1" si="3"/>
        <v/>
      </c>
      <c r="T77" s="224" t="str">
        <f ca="1">IF(B77="","",IF(ISERROR(MATCH($J77,SorP!$B$1:$B$6230,0)),"",INDIRECT("'SorP'!$A$"&amp;MATCH($J77,SorP!$B$1:$B$6230,0))))</f>
        <v/>
      </c>
      <c r="U77" s="239"/>
      <c r="V77" s="269" t="e">
        <f>IF(C77="",NA(),MATCH($B77&amp;$C77,'Smelter Look-up'!$J:$J,0))</f>
        <v>#N/A</v>
      </c>
      <c r="W77" s="270"/>
      <c r="X77" s="270">
        <f t="shared" ca="1" si="4"/>
        <v>0</v>
      </c>
      <c r="Y77" s="270"/>
      <c r="Z77" s="270"/>
      <c r="AB77" s="272" t="str">
        <f t="shared" si="5"/>
        <v/>
      </c>
    </row>
    <row r="78" spans="1:28" s="271" customFormat="1" ht="20.25">
      <c r="A78" s="215"/>
      <c r="B78" s="216" t="str">
        <f>IF(LEN(A78)=0,"",INDEX('Smelter Look-up'!$A:$A,MATCH($A78,'Smelter Look-up'!$E:$E,0)))</f>
        <v/>
      </c>
      <c r="C78" s="220" t="str">
        <f>IF(LEN(A78)=0,"",INDEX('Smelter Look-up'!$C:$C,MATCH($A78,'Smelter Look-up'!$E:$E,0)))</f>
        <v/>
      </c>
      <c r="D78" s="216"/>
      <c r="E78" s="216" t="str">
        <f ca="1">IF(ISERROR($V78),"",OFFSET('Smelter Look-up'!$D$4,$V78-4,0)&amp;"")</f>
        <v/>
      </c>
      <c r="F78" s="216" t="str">
        <f ca="1">IF(ISERROR($V78),"",OFFSET('Smelter Look-up'!$E$4,$V78-4,0))</f>
        <v/>
      </c>
      <c r="G78" s="216" t="str">
        <f ca="1">IF(C78=$X$4,"Enter smelter details", IF(ISERROR($V78),"",OFFSET('Smelter Look-up'!$F$4,$V78-4,0)))</f>
        <v/>
      </c>
      <c r="H78" s="217" t="str">
        <f ca="1">IF(ISERROR($V78),"",OFFSET('Smelter Look-up'!$G$4,$V78-4,0))</f>
        <v/>
      </c>
      <c r="I78" s="218" t="str">
        <f ca="1">IF(ISERROR($V78),"",OFFSET('Smelter Look-up'!$H$4,$V78-4,0))</f>
        <v/>
      </c>
      <c r="J78" s="218" t="str">
        <f ca="1">IF(ISERROR($V78),"",OFFSET('Smelter Look-up'!$I$4,$V78-4,0))</f>
        <v/>
      </c>
      <c r="K78" s="267"/>
      <c r="L78" s="267"/>
      <c r="M78" s="267"/>
      <c r="N78" s="267"/>
      <c r="O78" s="267"/>
      <c r="P78" s="219"/>
      <c r="Q78" s="268"/>
      <c r="R78" s="216" t="str">
        <f ca="1">IF(ISERROR($V78),"",OFFSET('Smelter Look-up'!$C$4,$V78-4,0)&amp;"")</f>
        <v/>
      </c>
      <c r="S78" s="224" t="str">
        <f t="shared" ca="1" si="3"/>
        <v/>
      </c>
      <c r="T78" s="224" t="str">
        <f ca="1">IF(B78="","",IF(ISERROR(MATCH($J78,SorP!$B$1:$B$6230,0)),"",INDIRECT("'SorP'!$A$"&amp;MATCH($J78,SorP!$B$1:$B$6230,0))))</f>
        <v/>
      </c>
      <c r="U78" s="239"/>
      <c r="V78" s="269" t="e">
        <f>IF(C78="",NA(),MATCH($B78&amp;$C78,'Smelter Look-up'!$J:$J,0))</f>
        <v>#N/A</v>
      </c>
      <c r="W78" s="270"/>
      <c r="X78" s="270">
        <f t="shared" ca="1" si="4"/>
        <v>0</v>
      </c>
      <c r="Y78" s="270"/>
      <c r="Z78" s="270"/>
      <c r="AB78" s="272" t="str">
        <f t="shared" si="5"/>
        <v/>
      </c>
    </row>
    <row r="79" spans="1:28" s="271" customFormat="1" ht="20.25">
      <c r="A79" s="215"/>
      <c r="B79" s="216" t="str">
        <f>IF(LEN(A79)=0,"",INDEX('Smelter Look-up'!$A:$A,MATCH($A79,'Smelter Look-up'!$E:$E,0)))</f>
        <v/>
      </c>
      <c r="C79" s="220" t="str">
        <f>IF(LEN(A79)=0,"",INDEX('Smelter Look-up'!$C:$C,MATCH($A79,'Smelter Look-up'!$E:$E,0)))</f>
        <v/>
      </c>
      <c r="D79" s="216"/>
      <c r="E79" s="216" t="str">
        <f ca="1">IF(ISERROR($V79),"",OFFSET('Smelter Look-up'!$D$4,$V79-4,0)&amp;"")</f>
        <v/>
      </c>
      <c r="F79" s="216" t="str">
        <f ca="1">IF(ISERROR($V79),"",OFFSET('Smelter Look-up'!$E$4,$V79-4,0))</f>
        <v/>
      </c>
      <c r="G79" s="216" t="str">
        <f ca="1">IF(C79=$X$4,"Enter smelter details", IF(ISERROR($V79),"",OFFSET('Smelter Look-up'!$F$4,$V79-4,0)))</f>
        <v/>
      </c>
      <c r="H79" s="217" t="str">
        <f ca="1">IF(ISERROR($V79),"",OFFSET('Smelter Look-up'!$G$4,$V79-4,0))</f>
        <v/>
      </c>
      <c r="I79" s="218" t="str">
        <f ca="1">IF(ISERROR($V79),"",OFFSET('Smelter Look-up'!$H$4,$V79-4,0))</f>
        <v/>
      </c>
      <c r="J79" s="218" t="str">
        <f ca="1">IF(ISERROR($V79),"",OFFSET('Smelter Look-up'!$I$4,$V79-4,0))</f>
        <v/>
      </c>
      <c r="K79" s="267"/>
      <c r="L79" s="267"/>
      <c r="M79" s="267"/>
      <c r="N79" s="267"/>
      <c r="O79" s="267"/>
      <c r="P79" s="219"/>
      <c r="Q79" s="268"/>
      <c r="R79" s="216" t="str">
        <f ca="1">IF(ISERROR($V79),"",OFFSET('Smelter Look-up'!$C$4,$V79-4,0)&amp;"")</f>
        <v/>
      </c>
      <c r="S79" s="224" t="str">
        <f t="shared" ca="1" si="3"/>
        <v/>
      </c>
      <c r="T79" s="224" t="str">
        <f ca="1">IF(B79="","",IF(ISERROR(MATCH($J79,SorP!$B$1:$B$6230,0)),"",INDIRECT("'SorP'!$A$"&amp;MATCH($J79,SorP!$B$1:$B$6230,0))))</f>
        <v/>
      </c>
      <c r="U79" s="239"/>
      <c r="V79" s="269" t="e">
        <f>IF(C79="",NA(),MATCH($B79&amp;$C79,'Smelter Look-up'!$J:$J,0))</f>
        <v>#N/A</v>
      </c>
      <c r="W79" s="270"/>
      <c r="X79" s="270">
        <f t="shared" ca="1" si="4"/>
        <v>0</v>
      </c>
      <c r="Y79" s="270"/>
      <c r="Z79" s="270"/>
      <c r="AB79" s="272" t="str">
        <f t="shared" si="5"/>
        <v/>
      </c>
    </row>
    <row r="80" spans="1:28" s="271" customFormat="1" ht="20.25">
      <c r="A80" s="215"/>
      <c r="B80" s="216" t="str">
        <f>IF(LEN(A80)=0,"",INDEX('Smelter Look-up'!$A:$A,MATCH($A80,'Smelter Look-up'!$E:$E,0)))</f>
        <v/>
      </c>
      <c r="C80" s="220" t="str">
        <f>IF(LEN(A80)=0,"",INDEX('Smelter Look-up'!$C:$C,MATCH($A80,'Smelter Look-up'!$E:$E,0)))</f>
        <v/>
      </c>
      <c r="D80" s="216"/>
      <c r="E80" s="216" t="str">
        <f ca="1">IF(ISERROR($V80),"",OFFSET('Smelter Look-up'!$D$4,$V80-4,0)&amp;"")</f>
        <v/>
      </c>
      <c r="F80" s="216" t="str">
        <f ca="1">IF(ISERROR($V80),"",OFFSET('Smelter Look-up'!$E$4,$V80-4,0))</f>
        <v/>
      </c>
      <c r="G80" s="216" t="str">
        <f ca="1">IF(C80=$X$4,"Enter smelter details", IF(ISERROR($V80),"",OFFSET('Smelter Look-up'!$F$4,$V80-4,0)))</f>
        <v/>
      </c>
      <c r="H80" s="217" t="str">
        <f ca="1">IF(ISERROR($V80),"",OFFSET('Smelter Look-up'!$G$4,$V80-4,0))</f>
        <v/>
      </c>
      <c r="I80" s="218" t="str">
        <f ca="1">IF(ISERROR($V80),"",OFFSET('Smelter Look-up'!$H$4,$V80-4,0))</f>
        <v/>
      </c>
      <c r="J80" s="218" t="str">
        <f ca="1">IF(ISERROR($V80),"",OFFSET('Smelter Look-up'!$I$4,$V80-4,0))</f>
        <v/>
      </c>
      <c r="K80" s="267"/>
      <c r="L80" s="267"/>
      <c r="M80" s="267"/>
      <c r="N80" s="267"/>
      <c r="O80" s="267"/>
      <c r="P80" s="219"/>
      <c r="Q80" s="268"/>
      <c r="R80" s="216" t="str">
        <f ca="1">IF(ISERROR($V80),"",OFFSET('Smelter Look-up'!$C$4,$V80-4,0)&amp;"")</f>
        <v/>
      </c>
      <c r="S80" s="224" t="str">
        <f t="shared" ca="1" si="3"/>
        <v/>
      </c>
      <c r="T80" s="224" t="str">
        <f ca="1">IF(B80="","",IF(ISERROR(MATCH($J80,SorP!$B$1:$B$6230,0)),"",INDIRECT("'SorP'!$A$"&amp;MATCH($J80,SorP!$B$1:$B$6230,0))))</f>
        <v/>
      </c>
      <c r="U80" s="239"/>
      <c r="V80" s="269" t="e">
        <f>IF(C80="",NA(),MATCH($B80&amp;$C80,'Smelter Look-up'!$J:$J,0))</f>
        <v>#N/A</v>
      </c>
      <c r="W80" s="270"/>
      <c r="X80" s="270">
        <f t="shared" ca="1" si="4"/>
        <v>0</v>
      </c>
      <c r="Y80" s="270"/>
      <c r="Z80" s="270"/>
      <c r="AB80" s="272" t="str">
        <f t="shared" si="5"/>
        <v/>
      </c>
    </row>
    <row r="81" spans="1:28" s="271" customFormat="1" ht="20.25">
      <c r="A81" s="215"/>
      <c r="B81" s="216" t="str">
        <f>IF(LEN(A81)=0,"",INDEX('Smelter Look-up'!$A:$A,MATCH($A81,'Smelter Look-up'!$E:$E,0)))</f>
        <v/>
      </c>
      <c r="C81" s="220" t="str">
        <f>IF(LEN(A81)=0,"",INDEX('Smelter Look-up'!$C:$C,MATCH($A81,'Smelter Look-up'!$E:$E,0)))</f>
        <v/>
      </c>
      <c r="D81" s="216"/>
      <c r="E81" s="216" t="str">
        <f ca="1">IF(ISERROR($V81),"",OFFSET('Smelter Look-up'!$D$4,$V81-4,0)&amp;"")</f>
        <v/>
      </c>
      <c r="F81" s="216" t="str">
        <f ca="1">IF(ISERROR($V81),"",OFFSET('Smelter Look-up'!$E$4,$V81-4,0))</f>
        <v/>
      </c>
      <c r="G81" s="216" t="str">
        <f ca="1">IF(C81=$X$4,"Enter smelter details", IF(ISERROR($V81),"",OFFSET('Smelter Look-up'!$F$4,$V81-4,0)))</f>
        <v/>
      </c>
      <c r="H81" s="217" t="str">
        <f ca="1">IF(ISERROR($V81),"",OFFSET('Smelter Look-up'!$G$4,$V81-4,0))</f>
        <v/>
      </c>
      <c r="I81" s="218" t="str">
        <f ca="1">IF(ISERROR($V81),"",OFFSET('Smelter Look-up'!$H$4,$V81-4,0))</f>
        <v/>
      </c>
      <c r="J81" s="218" t="str">
        <f ca="1">IF(ISERROR($V81),"",OFFSET('Smelter Look-up'!$I$4,$V81-4,0))</f>
        <v/>
      </c>
      <c r="K81" s="267"/>
      <c r="L81" s="267"/>
      <c r="M81" s="267"/>
      <c r="N81" s="267"/>
      <c r="O81" s="267"/>
      <c r="P81" s="219"/>
      <c r="Q81" s="268"/>
      <c r="R81" s="216" t="str">
        <f ca="1">IF(ISERROR($V81),"",OFFSET('Smelter Look-up'!$C$4,$V81-4,0)&amp;"")</f>
        <v/>
      </c>
      <c r="S81" s="224" t="str">
        <f t="shared" ca="1" si="3"/>
        <v/>
      </c>
      <c r="T81" s="224" t="str">
        <f ca="1">IF(B81="","",IF(ISERROR(MATCH($J81,SorP!$B$1:$B$6230,0)),"",INDIRECT("'SorP'!$A$"&amp;MATCH($J81,SorP!$B$1:$B$6230,0))))</f>
        <v/>
      </c>
      <c r="U81" s="239"/>
      <c r="V81" s="269" t="e">
        <f>IF(C81="",NA(),MATCH($B81&amp;$C81,'Smelter Look-up'!$J:$J,0))</f>
        <v>#N/A</v>
      </c>
      <c r="W81" s="270"/>
      <c r="X81" s="270">
        <f t="shared" ca="1" si="4"/>
        <v>0</v>
      </c>
      <c r="Y81" s="270"/>
      <c r="Z81" s="270"/>
      <c r="AB81" s="272" t="str">
        <f t="shared" si="5"/>
        <v/>
      </c>
    </row>
    <row r="82" spans="1:28" s="271" customFormat="1" ht="20.25">
      <c r="A82" s="215"/>
      <c r="B82" s="216" t="str">
        <f>IF(LEN(A82)=0,"",INDEX('Smelter Look-up'!$A:$A,MATCH($A82,'Smelter Look-up'!$E:$E,0)))</f>
        <v/>
      </c>
      <c r="C82" s="220" t="str">
        <f>IF(LEN(A82)=0,"",INDEX('Smelter Look-up'!$C:$C,MATCH($A82,'Smelter Look-up'!$E:$E,0)))</f>
        <v/>
      </c>
      <c r="D82" s="216"/>
      <c r="E82" s="216" t="str">
        <f ca="1">IF(ISERROR($V82),"",OFFSET('Smelter Look-up'!$D$4,$V82-4,0)&amp;"")</f>
        <v/>
      </c>
      <c r="F82" s="216" t="str">
        <f ca="1">IF(ISERROR($V82),"",OFFSET('Smelter Look-up'!$E$4,$V82-4,0))</f>
        <v/>
      </c>
      <c r="G82" s="216" t="str">
        <f ca="1">IF(C82=$X$4,"Enter smelter details", IF(ISERROR($V82),"",OFFSET('Smelter Look-up'!$F$4,$V82-4,0)))</f>
        <v/>
      </c>
      <c r="H82" s="217" t="str">
        <f ca="1">IF(ISERROR($V82),"",OFFSET('Smelter Look-up'!$G$4,$V82-4,0))</f>
        <v/>
      </c>
      <c r="I82" s="218" t="str">
        <f ca="1">IF(ISERROR($V82),"",OFFSET('Smelter Look-up'!$H$4,$V82-4,0))</f>
        <v/>
      </c>
      <c r="J82" s="218" t="str">
        <f ca="1">IF(ISERROR($V82),"",OFFSET('Smelter Look-up'!$I$4,$V82-4,0))</f>
        <v/>
      </c>
      <c r="K82" s="267"/>
      <c r="L82" s="267"/>
      <c r="M82" s="267"/>
      <c r="N82" s="267"/>
      <c r="O82" s="267"/>
      <c r="P82" s="219"/>
      <c r="Q82" s="268"/>
      <c r="R82" s="216" t="str">
        <f ca="1">IF(ISERROR($V82),"",OFFSET('Smelter Look-up'!$C$4,$V82-4,0)&amp;"")</f>
        <v/>
      </c>
      <c r="S82" s="224" t="str">
        <f t="shared" ca="1" si="3"/>
        <v/>
      </c>
      <c r="T82" s="224" t="str">
        <f ca="1">IF(B82="","",IF(ISERROR(MATCH($J82,SorP!$B$1:$B$6230,0)),"",INDIRECT("'SorP'!$A$"&amp;MATCH($J82,SorP!$B$1:$B$6230,0))))</f>
        <v/>
      </c>
      <c r="U82" s="239"/>
      <c r="V82" s="269" t="e">
        <f>IF(C82="",NA(),MATCH($B82&amp;$C82,'Smelter Look-up'!$J:$J,0))</f>
        <v>#N/A</v>
      </c>
      <c r="W82" s="270"/>
      <c r="X82" s="270">
        <f t="shared" ca="1" si="4"/>
        <v>0</v>
      </c>
      <c r="Y82" s="270"/>
      <c r="Z82" s="270"/>
      <c r="AB82" s="272" t="str">
        <f t="shared" si="5"/>
        <v/>
      </c>
    </row>
    <row r="83" spans="1:28" s="271" customFormat="1" ht="20.25">
      <c r="A83" s="215"/>
      <c r="B83" s="216" t="str">
        <f>IF(LEN(A83)=0,"",INDEX('Smelter Look-up'!$A:$A,MATCH($A83,'Smelter Look-up'!$E:$E,0)))</f>
        <v/>
      </c>
      <c r="C83" s="220" t="str">
        <f>IF(LEN(A83)=0,"",INDEX('Smelter Look-up'!$C:$C,MATCH($A83,'Smelter Look-up'!$E:$E,0)))</f>
        <v/>
      </c>
      <c r="D83" s="216"/>
      <c r="E83" s="216" t="str">
        <f ca="1">IF(ISERROR($V83),"",OFFSET('Smelter Look-up'!$D$4,$V83-4,0)&amp;"")</f>
        <v/>
      </c>
      <c r="F83" s="216" t="str">
        <f ca="1">IF(ISERROR($V83),"",OFFSET('Smelter Look-up'!$E$4,$V83-4,0))</f>
        <v/>
      </c>
      <c r="G83" s="216" t="str">
        <f ca="1">IF(C83=$X$4,"Enter smelter details", IF(ISERROR($V83),"",OFFSET('Smelter Look-up'!$F$4,$V83-4,0)))</f>
        <v/>
      </c>
      <c r="H83" s="217" t="str">
        <f ca="1">IF(ISERROR($V83),"",OFFSET('Smelter Look-up'!$G$4,$V83-4,0))</f>
        <v/>
      </c>
      <c r="I83" s="218" t="str">
        <f ca="1">IF(ISERROR($V83),"",OFFSET('Smelter Look-up'!$H$4,$V83-4,0))</f>
        <v/>
      </c>
      <c r="J83" s="218" t="str">
        <f ca="1">IF(ISERROR($V83),"",OFFSET('Smelter Look-up'!$I$4,$V83-4,0))</f>
        <v/>
      </c>
      <c r="K83" s="267"/>
      <c r="L83" s="267"/>
      <c r="M83" s="267"/>
      <c r="N83" s="267"/>
      <c r="O83" s="267"/>
      <c r="P83" s="219"/>
      <c r="Q83" s="268"/>
      <c r="R83" s="216" t="str">
        <f ca="1">IF(ISERROR($V83),"",OFFSET('Smelter Look-up'!$C$4,$V83-4,0)&amp;"")</f>
        <v/>
      </c>
      <c r="S83" s="224" t="str">
        <f t="shared" ca="1" si="3"/>
        <v/>
      </c>
      <c r="T83" s="224" t="str">
        <f ca="1">IF(B83="","",IF(ISERROR(MATCH($J83,SorP!$B$1:$B$6230,0)),"",INDIRECT("'SorP'!$A$"&amp;MATCH($J83,SorP!$B$1:$B$6230,0))))</f>
        <v/>
      </c>
      <c r="U83" s="239"/>
      <c r="V83" s="269" t="e">
        <f>IF(C83="",NA(),MATCH($B83&amp;$C83,'Smelter Look-up'!$J:$J,0))</f>
        <v>#N/A</v>
      </c>
      <c r="W83" s="270"/>
      <c r="X83" s="270">
        <f t="shared" ca="1" si="4"/>
        <v>0</v>
      </c>
      <c r="Y83" s="270"/>
      <c r="Z83" s="270"/>
      <c r="AB83" s="272" t="str">
        <f t="shared" si="5"/>
        <v/>
      </c>
    </row>
    <row r="84" spans="1:28" s="271" customFormat="1" ht="20.25">
      <c r="A84" s="215"/>
      <c r="B84" s="216" t="str">
        <f>IF(LEN(A84)=0,"",INDEX('Smelter Look-up'!$A:$A,MATCH($A84,'Smelter Look-up'!$E:$E,0)))</f>
        <v/>
      </c>
      <c r="C84" s="220" t="str">
        <f>IF(LEN(A84)=0,"",INDEX('Smelter Look-up'!$C:$C,MATCH($A84,'Smelter Look-up'!$E:$E,0)))</f>
        <v/>
      </c>
      <c r="D84" s="216"/>
      <c r="E84" s="216" t="str">
        <f ca="1">IF(ISERROR($V84),"",OFFSET('Smelter Look-up'!$D$4,$V84-4,0)&amp;"")</f>
        <v/>
      </c>
      <c r="F84" s="216" t="str">
        <f ca="1">IF(ISERROR($V84),"",OFFSET('Smelter Look-up'!$E$4,$V84-4,0))</f>
        <v/>
      </c>
      <c r="G84" s="216" t="str">
        <f ca="1">IF(C84=$X$4,"Enter smelter details", IF(ISERROR($V84),"",OFFSET('Smelter Look-up'!$F$4,$V84-4,0)))</f>
        <v/>
      </c>
      <c r="H84" s="217" t="str">
        <f ca="1">IF(ISERROR($V84),"",OFFSET('Smelter Look-up'!$G$4,$V84-4,0))</f>
        <v/>
      </c>
      <c r="I84" s="218" t="str">
        <f ca="1">IF(ISERROR($V84),"",OFFSET('Smelter Look-up'!$H$4,$V84-4,0))</f>
        <v/>
      </c>
      <c r="J84" s="218" t="str">
        <f ca="1">IF(ISERROR($V84),"",OFFSET('Smelter Look-up'!$I$4,$V84-4,0))</f>
        <v/>
      </c>
      <c r="K84" s="267"/>
      <c r="L84" s="267"/>
      <c r="M84" s="267"/>
      <c r="N84" s="267"/>
      <c r="O84" s="267"/>
      <c r="P84" s="219"/>
      <c r="Q84" s="268"/>
      <c r="R84" s="216" t="str">
        <f ca="1">IF(ISERROR($V84),"",OFFSET('Smelter Look-up'!$C$4,$V84-4,0)&amp;"")</f>
        <v/>
      </c>
      <c r="S84" s="224" t="str">
        <f t="shared" ca="1" si="3"/>
        <v/>
      </c>
      <c r="T84" s="224" t="str">
        <f ca="1">IF(B84="","",IF(ISERROR(MATCH($J84,SorP!$B$1:$B$6230,0)),"",INDIRECT("'SorP'!$A$"&amp;MATCH($J84,SorP!$B$1:$B$6230,0))))</f>
        <v/>
      </c>
      <c r="U84" s="239"/>
      <c r="V84" s="269" t="e">
        <f>IF(C84="",NA(),MATCH($B84&amp;$C84,'Smelter Look-up'!$J:$J,0))</f>
        <v>#N/A</v>
      </c>
      <c r="W84" s="270"/>
      <c r="X84" s="270">
        <f t="shared" ca="1" si="4"/>
        <v>0</v>
      </c>
      <c r="Y84" s="270"/>
      <c r="Z84" s="270"/>
      <c r="AB84" s="272" t="str">
        <f t="shared" si="5"/>
        <v/>
      </c>
    </row>
    <row r="85" spans="1:28" s="271" customFormat="1" ht="20.25">
      <c r="A85" s="215"/>
      <c r="B85" s="216" t="str">
        <f>IF(LEN(A85)=0,"",INDEX('Smelter Look-up'!$A:$A,MATCH($A85,'Smelter Look-up'!$E:$E,0)))</f>
        <v/>
      </c>
      <c r="C85" s="220" t="str">
        <f>IF(LEN(A85)=0,"",INDEX('Smelter Look-up'!$C:$C,MATCH($A85,'Smelter Look-up'!$E:$E,0)))</f>
        <v/>
      </c>
      <c r="D85" s="216"/>
      <c r="E85" s="216" t="str">
        <f ca="1">IF(ISERROR($V85),"",OFFSET('Smelter Look-up'!$D$4,$V85-4,0)&amp;"")</f>
        <v/>
      </c>
      <c r="F85" s="216" t="str">
        <f ca="1">IF(ISERROR($V85),"",OFFSET('Smelter Look-up'!$E$4,$V85-4,0))</f>
        <v/>
      </c>
      <c r="G85" s="216" t="str">
        <f ca="1">IF(C85=$X$4,"Enter smelter details", IF(ISERROR($V85),"",OFFSET('Smelter Look-up'!$F$4,$V85-4,0)))</f>
        <v/>
      </c>
      <c r="H85" s="217" t="str">
        <f ca="1">IF(ISERROR($V85),"",OFFSET('Smelter Look-up'!$G$4,$V85-4,0))</f>
        <v/>
      </c>
      <c r="I85" s="218" t="str">
        <f ca="1">IF(ISERROR($V85),"",OFFSET('Smelter Look-up'!$H$4,$V85-4,0))</f>
        <v/>
      </c>
      <c r="J85" s="218" t="str">
        <f ca="1">IF(ISERROR($V85),"",OFFSET('Smelter Look-up'!$I$4,$V85-4,0))</f>
        <v/>
      </c>
      <c r="K85" s="267"/>
      <c r="L85" s="267"/>
      <c r="M85" s="267"/>
      <c r="N85" s="267"/>
      <c r="O85" s="267"/>
      <c r="P85" s="219"/>
      <c r="Q85" s="268"/>
      <c r="R85" s="216" t="str">
        <f ca="1">IF(ISERROR($V85),"",OFFSET('Smelter Look-up'!$C$4,$V85-4,0)&amp;"")</f>
        <v/>
      </c>
      <c r="S85" s="224" t="str">
        <f t="shared" ca="1" si="3"/>
        <v/>
      </c>
      <c r="T85" s="224" t="str">
        <f ca="1">IF(B85="","",IF(ISERROR(MATCH($J85,SorP!$B$1:$B$6230,0)),"",INDIRECT("'SorP'!$A$"&amp;MATCH($J85,SorP!$B$1:$B$6230,0))))</f>
        <v/>
      </c>
      <c r="U85" s="239"/>
      <c r="V85" s="269" t="e">
        <f>IF(C85="",NA(),MATCH($B85&amp;$C85,'Smelter Look-up'!$J:$J,0))</f>
        <v>#N/A</v>
      </c>
      <c r="W85" s="270"/>
      <c r="X85" s="270">
        <f t="shared" ca="1" si="4"/>
        <v>0</v>
      </c>
      <c r="Y85" s="270"/>
      <c r="Z85" s="270"/>
      <c r="AB85" s="272" t="str">
        <f t="shared" si="5"/>
        <v/>
      </c>
    </row>
    <row r="86" spans="1:28" s="271" customFormat="1" ht="20.25">
      <c r="A86" s="215"/>
      <c r="B86" s="216" t="str">
        <f>IF(LEN(A86)=0,"",INDEX('Smelter Look-up'!$A:$A,MATCH($A86,'Smelter Look-up'!$E:$E,0)))</f>
        <v/>
      </c>
      <c r="C86" s="220" t="str">
        <f>IF(LEN(A86)=0,"",INDEX('Smelter Look-up'!$C:$C,MATCH($A86,'Smelter Look-up'!$E:$E,0)))</f>
        <v/>
      </c>
      <c r="D86" s="216"/>
      <c r="E86" s="216" t="str">
        <f ca="1">IF(ISERROR($V86),"",OFFSET('Smelter Look-up'!$D$4,$V86-4,0)&amp;"")</f>
        <v/>
      </c>
      <c r="F86" s="216" t="str">
        <f ca="1">IF(ISERROR($V86),"",OFFSET('Smelter Look-up'!$E$4,$V86-4,0))</f>
        <v/>
      </c>
      <c r="G86" s="216" t="str">
        <f ca="1">IF(C86=$X$4,"Enter smelter details", IF(ISERROR($V86),"",OFFSET('Smelter Look-up'!$F$4,$V86-4,0)))</f>
        <v/>
      </c>
      <c r="H86" s="217" t="str">
        <f ca="1">IF(ISERROR($V86),"",OFFSET('Smelter Look-up'!$G$4,$V86-4,0))</f>
        <v/>
      </c>
      <c r="I86" s="218" t="str">
        <f ca="1">IF(ISERROR($V86),"",OFFSET('Smelter Look-up'!$H$4,$V86-4,0))</f>
        <v/>
      </c>
      <c r="J86" s="218" t="str">
        <f ca="1">IF(ISERROR($V86),"",OFFSET('Smelter Look-up'!$I$4,$V86-4,0))</f>
        <v/>
      </c>
      <c r="K86" s="267"/>
      <c r="L86" s="267"/>
      <c r="M86" s="267"/>
      <c r="N86" s="267"/>
      <c r="O86" s="267"/>
      <c r="P86" s="219"/>
      <c r="Q86" s="268"/>
      <c r="R86" s="216" t="str">
        <f ca="1">IF(ISERROR($V86),"",OFFSET('Smelter Look-up'!$C$4,$V86-4,0)&amp;"")</f>
        <v/>
      </c>
      <c r="S86" s="224" t="str">
        <f t="shared" ca="1" si="3"/>
        <v/>
      </c>
      <c r="T86" s="224" t="str">
        <f ca="1">IF(B86="","",IF(ISERROR(MATCH($J86,SorP!$B$1:$B$6230,0)),"",INDIRECT("'SorP'!$A$"&amp;MATCH($J86,SorP!$B$1:$B$6230,0))))</f>
        <v/>
      </c>
      <c r="U86" s="239"/>
      <c r="V86" s="269" t="e">
        <f>IF(C86="",NA(),MATCH($B86&amp;$C86,'Smelter Look-up'!$J:$J,0))</f>
        <v>#N/A</v>
      </c>
      <c r="W86" s="270"/>
      <c r="X86" s="270">
        <f t="shared" ca="1" si="4"/>
        <v>0</v>
      </c>
      <c r="Y86" s="270"/>
      <c r="Z86" s="270"/>
      <c r="AB86" s="272" t="str">
        <f t="shared" si="5"/>
        <v/>
      </c>
    </row>
    <row r="87" spans="1:28" s="271" customFormat="1" ht="20.25">
      <c r="A87" s="215"/>
      <c r="B87" s="216" t="str">
        <f>IF(LEN(A87)=0,"",INDEX('Smelter Look-up'!$A:$A,MATCH($A87,'Smelter Look-up'!$E:$E,0)))</f>
        <v/>
      </c>
      <c r="C87" s="220" t="str">
        <f>IF(LEN(A87)=0,"",INDEX('Smelter Look-up'!$C:$C,MATCH($A87,'Smelter Look-up'!$E:$E,0)))</f>
        <v/>
      </c>
      <c r="D87" s="216"/>
      <c r="E87" s="216" t="str">
        <f ca="1">IF(ISERROR($V87),"",OFFSET('Smelter Look-up'!$D$4,$V87-4,0)&amp;"")</f>
        <v/>
      </c>
      <c r="F87" s="216" t="str">
        <f ca="1">IF(ISERROR($V87),"",OFFSET('Smelter Look-up'!$E$4,$V87-4,0))</f>
        <v/>
      </c>
      <c r="G87" s="216" t="str">
        <f ca="1">IF(C87=$X$4,"Enter smelter details", IF(ISERROR($V87),"",OFFSET('Smelter Look-up'!$F$4,$V87-4,0)))</f>
        <v/>
      </c>
      <c r="H87" s="217" t="str">
        <f ca="1">IF(ISERROR($V87),"",OFFSET('Smelter Look-up'!$G$4,$V87-4,0))</f>
        <v/>
      </c>
      <c r="I87" s="218" t="str">
        <f ca="1">IF(ISERROR($V87),"",OFFSET('Smelter Look-up'!$H$4,$V87-4,0))</f>
        <v/>
      </c>
      <c r="J87" s="218" t="str">
        <f ca="1">IF(ISERROR($V87),"",OFFSET('Smelter Look-up'!$I$4,$V87-4,0))</f>
        <v/>
      </c>
      <c r="K87" s="267"/>
      <c r="L87" s="267"/>
      <c r="M87" s="267"/>
      <c r="N87" s="267"/>
      <c r="O87" s="267"/>
      <c r="P87" s="219"/>
      <c r="Q87" s="268"/>
      <c r="R87" s="216" t="str">
        <f ca="1">IF(ISERROR($V87),"",OFFSET('Smelter Look-up'!$C$4,$V87-4,0)&amp;"")</f>
        <v/>
      </c>
      <c r="S87" s="224" t="str">
        <f t="shared" ca="1" si="3"/>
        <v/>
      </c>
      <c r="T87" s="224" t="str">
        <f ca="1">IF(B87="","",IF(ISERROR(MATCH($J87,SorP!$B$1:$B$6230,0)),"",INDIRECT("'SorP'!$A$"&amp;MATCH($J87,SorP!$B$1:$B$6230,0))))</f>
        <v/>
      </c>
      <c r="U87" s="239"/>
      <c r="V87" s="269" t="e">
        <f>IF(C87="",NA(),MATCH($B87&amp;$C87,'Smelter Look-up'!$J:$J,0))</f>
        <v>#N/A</v>
      </c>
      <c r="W87" s="270"/>
      <c r="X87" s="270">
        <f t="shared" ca="1" si="4"/>
        <v>0</v>
      </c>
      <c r="Y87" s="270"/>
      <c r="Z87" s="270"/>
      <c r="AB87" s="272" t="str">
        <f t="shared" si="5"/>
        <v/>
      </c>
    </row>
    <row r="88" spans="1:28" s="271" customFormat="1" ht="20.25">
      <c r="A88" s="215"/>
      <c r="B88" s="216" t="str">
        <f>IF(LEN(A88)=0,"",INDEX('Smelter Look-up'!$A:$A,MATCH($A88,'Smelter Look-up'!$E:$E,0)))</f>
        <v/>
      </c>
      <c r="C88" s="220" t="str">
        <f>IF(LEN(A88)=0,"",INDEX('Smelter Look-up'!$C:$C,MATCH($A88,'Smelter Look-up'!$E:$E,0)))</f>
        <v/>
      </c>
      <c r="D88" s="216"/>
      <c r="E88" s="216" t="str">
        <f ca="1">IF(ISERROR($V88),"",OFFSET('Smelter Look-up'!$D$4,$V88-4,0)&amp;"")</f>
        <v/>
      </c>
      <c r="F88" s="216" t="str">
        <f ca="1">IF(ISERROR($V88),"",OFFSET('Smelter Look-up'!$E$4,$V88-4,0))</f>
        <v/>
      </c>
      <c r="G88" s="216" t="str">
        <f ca="1">IF(C88=$X$4,"Enter smelter details", IF(ISERROR($V88),"",OFFSET('Smelter Look-up'!$F$4,$V88-4,0)))</f>
        <v/>
      </c>
      <c r="H88" s="217" t="str">
        <f ca="1">IF(ISERROR($V88),"",OFFSET('Smelter Look-up'!$G$4,$V88-4,0))</f>
        <v/>
      </c>
      <c r="I88" s="218" t="str">
        <f ca="1">IF(ISERROR($V88),"",OFFSET('Smelter Look-up'!$H$4,$V88-4,0))</f>
        <v/>
      </c>
      <c r="J88" s="218" t="str">
        <f ca="1">IF(ISERROR($V88),"",OFFSET('Smelter Look-up'!$I$4,$V88-4,0))</f>
        <v/>
      </c>
      <c r="K88" s="267"/>
      <c r="L88" s="267"/>
      <c r="M88" s="267"/>
      <c r="N88" s="267"/>
      <c r="O88" s="267"/>
      <c r="P88" s="219"/>
      <c r="Q88" s="268"/>
      <c r="R88" s="216" t="str">
        <f ca="1">IF(ISERROR($V88),"",OFFSET('Smelter Look-up'!$C$4,$V88-4,0)&amp;"")</f>
        <v/>
      </c>
      <c r="S88" s="224" t="str">
        <f t="shared" ca="1" si="3"/>
        <v/>
      </c>
      <c r="T88" s="224" t="str">
        <f ca="1">IF(B88="","",IF(ISERROR(MATCH($J88,SorP!$B$1:$B$6230,0)),"",INDIRECT("'SorP'!$A$"&amp;MATCH($J88,SorP!$B$1:$B$6230,0))))</f>
        <v/>
      </c>
      <c r="U88" s="239"/>
      <c r="V88" s="269" t="e">
        <f>IF(C88="",NA(),MATCH($B88&amp;$C88,'Smelter Look-up'!$J:$J,0))</f>
        <v>#N/A</v>
      </c>
      <c r="W88" s="270"/>
      <c r="X88" s="270">
        <f t="shared" ca="1" si="4"/>
        <v>0</v>
      </c>
      <c r="Y88" s="270"/>
      <c r="Z88" s="270"/>
      <c r="AB88" s="272" t="str">
        <f t="shared" si="5"/>
        <v/>
      </c>
    </row>
    <row r="89" spans="1:28" s="271" customFormat="1" ht="20.25">
      <c r="A89" s="215"/>
      <c r="B89" s="216" t="str">
        <f>IF(LEN(A89)=0,"",INDEX('Smelter Look-up'!$A:$A,MATCH($A89,'Smelter Look-up'!$E:$E,0)))</f>
        <v/>
      </c>
      <c r="C89" s="220" t="str">
        <f>IF(LEN(A89)=0,"",INDEX('Smelter Look-up'!$C:$C,MATCH($A89,'Smelter Look-up'!$E:$E,0)))</f>
        <v/>
      </c>
      <c r="D89" s="216"/>
      <c r="E89" s="216" t="str">
        <f ca="1">IF(ISERROR($V89),"",OFFSET('Smelter Look-up'!$D$4,$V89-4,0)&amp;"")</f>
        <v/>
      </c>
      <c r="F89" s="216" t="str">
        <f ca="1">IF(ISERROR($V89),"",OFFSET('Smelter Look-up'!$E$4,$V89-4,0))</f>
        <v/>
      </c>
      <c r="G89" s="216" t="str">
        <f ca="1">IF(C89=$X$4,"Enter smelter details", IF(ISERROR($V89),"",OFFSET('Smelter Look-up'!$F$4,$V89-4,0)))</f>
        <v/>
      </c>
      <c r="H89" s="217" t="str">
        <f ca="1">IF(ISERROR($V89),"",OFFSET('Smelter Look-up'!$G$4,$V89-4,0))</f>
        <v/>
      </c>
      <c r="I89" s="218" t="str">
        <f ca="1">IF(ISERROR($V89),"",OFFSET('Smelter Look-up'!$H$4,$V89-4,0))</f>
        <v/>
      </c>
      <c r="J89" s="218" t="str">
        <f ca="1">IF(ISERROR($V89),"",OFFSET('Smelter Look-up'!$I$4,$V89-4,0))</f>
        <v/>
      </c>
      <c r="K89" s="267"/>
      <c r="L89" s="267"/>
      <c r="M89" s="267"/>
      <c r="N89" s="267"/>
      <c r="O89" s="267"/>
      <c r="P89" s="219"/>
      <c r="Q89" s="268"/>
      <c r="R89" s="216" t="str">
        <f ca="1">IF(ISERROR($V89),"",OFFSET('Smelter Look-up'!$C$4,$V89-4,0)&amp;"")</f>
        <v/>
      </c>
      <c r="S89" s="224" t="str">
        <f t="shared" ca="1" si="3"/>
        <v/>
      </c>
      <c r="T89" s="224" t="str">
        <f ca="1">IF(B89="","",IF(ISERROR(MATCH($J89,SorP!$B$1:$B$6230,0)),"",INDIRECT("'SorP'!$A$"&amp;MATCH($J89,SorP!$B$1:$B$6230,0))))</f>
        <v/>
      </c>
      <c r="U89" s="239"/>
      <c r="V89" s="269" t="e">
        <f>IF(C89="",NA(),MATCH($B89&amp;$C89,'Smelter Look-up'!$J:$J,0))</f>
        <v>#N/A</v>
      </c>
      <c r="W89" s="270"/>
      <c r="X89" s="270">
        <f t="shared" ca="1" si="4"/>
        <v>0</v>
      </c>
      <c r="Y89" s="270"/>
      <c r="Z89" s="270"/>
      <c r="AB89" s="272" t="str">
        <f t="shared" si="5"/>
        <v/>
      </c>
    </row>
    <row r="90" spans="1:28" s="271" customFormat="1" ht="20.25">
      <c r="A90" s="215"/>
      <c r="B90" s="216" t="str">
        <f>IF(LEN(A90)=0,"",INDEX('Smelter Look-up'!$A:$A,MATCH($A90,'Smelter Look-up'!$E:$E,0)))</f>
        <v/>
      </c>
      <c r="C90" s="220" t="str">
        <f>IF(LEN(A90)=0,"",INDEX('Smelter Look-up'!$C:$C,MATCH($A90,'Smelter Look-up'!$E:$E,0)))</f>
        <v/>
      </c>
      <c r="D90" s="216"/>
      <c r="E90" s="216" t="str">
        <f ca="1">IF(ISERROR($V90),"",OFFSET('Smelter Look-up'!$D$4,$V90-4,0)&amp;"")</f>
        <v/>
      </c>
      <c r="F90" s="216" t="str">
        <f ca="1">IF(ISERROR($V90),"",OFFSET('Smelter Look-up'!$E$4,$V90-4,0))</f>
        <v/>
      </c>
      <c r="G90" s="216" t="str">
        <f ca="1">IF(C90=$X$4,"Enter smelter details", IF(ISERROR($V90),"",OFFSET('Smelter Look-up'!$F$4,$V90-4,0)))</f>
        <v/>
      </c>
      <c r="H90" s="217" t="str">
        <f ca="1">IF(ISERROR($V90),"",OFFSET('Smelter Look-up'!$G$4,$V90-4,0))</f>
        <v/>
      </c>
      <c r="I90" s="218" t="str">
        <f ca="1">IF(ISERROR($V90),"",OFFSET('Smelter Look-up'!$H$4,$V90-4,0))</f>
        <v/>
      </c>
      <c r="J90" s="218" t="str">
        <f ca="1">IF(ISERROR($V90),"",OFFSET('Smelter Look-up'!$I$4,$V90-4,0))</f>
        <v/>
      </c>
      <c r="K90" s="267"/>
      <c r="L90" s="267"/>
      <c r="M90" s="267"/>
      <c r="N90" s="267"/>
      <c r="O90" s="267"/>
      <c r="P90" s="219"/>
      <c r="Q90" s="268"/>
      <c r="R90" s="216" t="str">
        <f ca="1">IF(ISERROR($V90),"",OFFSET('Smelter Look-up'!$C$4,$V90-4,0)&amp;"")</f>
        <v/>
      </c>
      <c r="S90" s="224" t="str">
        <f t="shared" ca="1" si="3"/>
        <v/>
      </c>
      <c r="T90" s="224" t="str">
        <f ca="1">IF(B90="","",IF(ISERROR(MATCH($J90,SorP!$B$1:$B$6230,0)),"",INDIRECT("'SorP'!$A$"&amp;MATCH($J90,SorP!$B$1:$B$6230,0))))</f>
        <v/>
      </c>
      <c r="U90" s="239"/>
      <c r="V90" s="269" t="e">
        <f>IF(C90="",NA(),MATCH($B90&amp;$C90,'Smelter Look-up'!$J:$J,0))</f>
        <v>#N/A</v>
      </c>
      <c r="W90" s="270"/>
      <c r="X90" s="270">
        <f t="shared" ca="1" si="4"/>
        <v>0</v>
      </c>
      <c r="Y90" s="270"/>
      <c r="Z90" s="270"/>
      <c r="AB90" s="272" t="str">
        <f t="shared" si="5"/>
        <v/>
      </c>
    </row>
    <row r="91" spans="1:28" s="271" customFormat="1" ht="20.25">
      <c r="A91" s="215"/>
      <c r="B91" s="216" t="str">
        <f>IF(LEN(A91)=0,"",INDEX('Smelter Look-up'!$A:$A,MATCH($A91,'Smelter Look-up'!$E:$E,0)))</f>
        <v/>
      </c>
      <c r="C91" s="220" t="str">
        <f>IF(LEN(A91)=0,"",INDEX('Smelter Look-up'!$C:$C,MATCH($A91,'Smelter Look-up'!$E:$E,0)))</f>
        <v/>
      </c>
      <c r="D91" s="216"/>
      <c r="E91" s="216" t="str">
        <f ca="1">IF(ISERROR($V91),"",OFFSET('Smelter Look-up'!$D$4,$V91-4,0)&amp;"")</f>
        <v/>
      </c>
      <c r="F91" s="216" t="str">
        <f ca="1">IF(ISERROR($V91),"",OFFSET('Smelter Look-up'!$E$4,$V91-4,0))</f>
        <v/>
      </c>
      <c r="G91" s="216" t="str">
        <f ca="1">IF(C91=$X$4,"Enter smelter details", IF(ISERROR($V91),"",OFFSET('Smelter Look-up'!$F$4,$V91-4,0)))</f>
        <v/>
      </c>
      <c r="H91" s="217" t="str">
        <f ca="1">IF(ISERROR($V91),"",OFFSET('Smelter Look-up'!$G$4,$V91-4,0))</f>
        <v/>
      </c>
      <c r="I91" s="218" t="str">
        <f ca="1">IF(ISERROR($V91),"",OFFSET('Smelter Look-up'!$H$4,$V91-4,0))</f>
        <v/>
      </c>
      <c r="J91" s="218" t="str">
        <f ca="1">IF(ISERROR($V91),"",OFFSET('Smelter Look-up'!$I$4,$V91-4,0))</f>
        <v/>
      </c>
      <c r="K91" s="267"/>
      <c r="L91" s="267"/>
      <c r="M91" s="267"/>
      <c r="N91" s="267"/>
      <c r="O91" s="267"/>
      <c r="P91" s="219"/>
      <c r="Q91" s="268"/>
      <c r="R91" s="216" t="str">
        <f ca="1">IF(ISERROR($V91),"",OFFSET('Smelter Look-up'!$C$4,$V91-4,0)&amp;"")</f>
        <v/>
      </c>
      <c r="S91" s="224" t="str">
        <f t="shared" ca="1" si="3"/>
        <v/>
      </c>
      <c r="T91" s="224" t="str">
        <f ca="1">IF(B91="","",IF(ISERROR(MATCH($J91,SorP!$B$1:$B$6230,0)),"",INDIRECT("'SorP'!$A$"&amp;MATCH($J91,SorP!$B$1:$B$6230,0))))</f>
        <v/>
      </c>
      <c r="U91" s="239"/>
      <c r="V91" s="269" t="e">
        <f>IF(C91="",NA(),MATCH($B91&amp;$C91,'Smelter Look-up'!$J:$J,0))</f>
        <v>#N/A</v>
      </c>
      <c r="W91" s="270"/>
      <c r="X91" s="270">
        <f t="shared" ca="1" si="4"/>
        <v>0</v>
      </c>
      <c r="Y91" s="270"/>
      <c r="Z91" s="270"/>
      <c r="AB91" s="272" t="str">
        <f t="shared" si="5"/>
        <v/>
      </c>
    </row>
    <row r="92" spans="1:28" s="271" customFormat="1" ht="20.25">
      <c r="A92" s="215"/>
      <c r="B92" s="216" t="str">
        <f>IF(LEN(A92)=0,"",INDEX('Smelter Look-up'!$A:$A,MATCH($A92,'Smelter Look-up'!$E:$E,0)))</f>
        <v/>
      </c>
      <c r="C92" s="220" t="str">
        <f>IF(LEN(A92)=0,"",INDEX('Smelter Look-up'!$C:$C,MATCH($A92,'Smelter Look-up'!$E:$E,0)))</f>
        <v/>
      </c>
      <c r="D92" s="216"/>
      <c r="E92" s="216" t="str">
        <f ca="1">IF(ISERROR($V92),"",OFFSET('Smelter Look-up'!$D$4,$V92-4,0)&amp;"")</f>
        <v/>
      </c>
      <c r="F92" s="216" t="str">
        <f ca="1">IF(ISERROR($V92),"",OFFSET('Smelter Look-up'!$E$4,$V92-4,0))</f>
        <v/>
      </c>
      <c r="G92" s="216" t="str">
        <f ca="1">IF(C92=$X$4,"Enter smelter details", IF(ISERROR($V92),"",OFFSET('Smelter Look-up'!$F$4,$V92-4,0)))</f>
        <v/>
      </c>
      <c r="H92" s="217" t="str">
        <f ca="1">IF(ISERROR($V92),"",OFFSET('Smelter Look-up'!$G$4,$V92-4,0))</f>
        <v/>
      </c>
      <c r="I92" s="218" t="str">
        <f ca="1">IF(ISERROR($V92),"",OFFSET('Smelter Look-up'!$H$4,$V92-4,0))</f>
        <v/>
      </c>
      <c r="J92" s="218" t="str">
        <f ca="1">IF(ISERROR($V92),"",OFFSET('Smelter Look-up'!$I$4,$V92-4,0))</f>
        <v/>
      </c>
      <c r="K92" s="267"/>
      <c r="L92" s="267"/>
      <c r="M92" s="267"/>
      <c r="N92" s="267"/>
      <c r="O92" s="267"/>
      <c r="P92" s="219"/>
      <c r="Q92" s="268"/>
      <c r="R92" s="216" t="str">
        <f ca="1">IF(ISERROR($V92),"",OFFSET('Smelter Look-up'!$C$4,$V92-4,0)&amp;"")</f>
        <v/>
      </c>
      <c r="S92" s="224" t="str">
        <f t="shared" ca="1" si="3"/>
        <v/>
      </c>
      <c r="T92" s="224" t="str">
        <f ca="1">IF(B92="","",IF(ISERROR(MATCH($J92,SorP!$B$1:$B$6230,0)),"",INDIRECT("'SorP'!$A$"&amp;MATCH($J92,SorP!$B$1:$B$6230,0))))</f>
        <v/>
      </c>
      <c r="U92" s="239"/>
      <c r="V92" s="269" t="e">
        <f>IF(C92="",NA(),MATCH($B92&amp;$C92,'Smelter Look-up'!$J:$J,0))</f>
        <v>#N/A</v>
      </c>
      <c r="W92" s="270"/>
      <c r="X92" s="270">
        <f t="shared" ca="1" si="4"/>
        <v>0</v>
      </c>
      <c r="Y92" s="270"/>
      <c r="Z92" s="270"/>
      <c r="AB92" s="272" t="str">
        <f t="shared" si="5"/>
        <v/>
      </c>
    </row>
    <row r="93" spans="1:28" s="271" customFormat="1" ht="20.25">
      <c r="A93" s="215"/>
      <c r="B93" s="216" t="str">
        <f>IF(LEN(A93)=0,"",INDEX('Smelter Look-up'!$A:$A,MATCH($A93,'Smelter Look-up'!$E:$E,0)))</f>
        <v/>
      </c>
      <c r="C93" s="220" t="str">
        <f>IF(LEN(A93)=0,"",INDEX('Smelter Look-up'!$C:$C,MATCH($A93,'Smelter Look-up'!$E:$E,0)))</f>
        <v/>
      </c>
      <c r="D93" s="216"/>
      <c r="E93" s="216" t="str">
        <f ca="1">IF(ISERROR($V93),"",OFFSET('Smelter Look-up'!$D$4,$V93-4,0)&amp;"")</f>
        <v/>
      </c>
      <c r="F93" s="216" t="str">
        <f ca="1">IF(ISERROR($V93),"",OFFSET('Smelter Look-up'!$E$4,$V93-4,0))</f>
        <v/>
      </c>
      <c r="G93" s="216" t="str">
        <f ca="1">IF(C93=$X$4,"Enter smelter details", IF(ISERROR($V93),"",OFFSET('Smelter Look-up'!$F$4,$V93-4,0)))</f>
        <v/>
      </c>
      <c r="H93" s="217" t="str">
        <f ca="1">IF(ISERROR($V93),"",OFFSET('Smelter Look-up'!$G$4,$V93-4,0))</f>
        <v/>
      </c>
      <c r="I93" s="218" t="str">
        <f ca="1">IF(ISERROR($V93),"",OFFSET('Smelter Look-up'!$H$4,$V93-4,0))</f>
        <v/>
      </c>
      <c r="J93" s="218" t="str">
        <f ca="1">IF(ISERROR($V93),"",OFFSET('Smelter Look-up'!$I$4,$V93-4,0))</f>
        <v/>
      </c>
      <c r="K93" s="267"/>
      <c r="L93" s="267"/>
      <c r="M93" s="267"/>
      <c r="N93" s="267"/>
      <c r="O93" s="267"/>
      <c r="P93" s="219"/>
      <c r="Q93" s="268"/>
      <c r="R93" s="216" t="str">
        <f ca="1">IF(ISERROR($V93),"",OFFSET('Smelter Look-up'!$C$4,$V93-4,0)&amp;"")</f>
        <v/>
      </c>
      <c r="S93" s="224" t="str">
        <f t="shared" ca="1" si="3"/>
        <v/>
      </c>
      <c r="T93" s="224" t="str">
        <f ca="1">IF(B93="","",IF(ISERROR(MATCH($J93,SorP!$B$1:$B$6230,0)),"",INDIRECT("'SorP'!$A$"&amp;MATCH($J93,SorP!$B$1:$B$6230,0))))</f>
        <v/>
      </c>
      <c r="U93" s="239"/>
      <c r="V93" s="269" t="e">
        <f>IF(C93="",NA(),MATCH($B93&amp;$C93,'Smelter Look-up'!$J:$J,0))</f>
        <v>#N/A</v>
      </c>
      <c r="W93" s="270"/>
      <c r="X93" s="270">
        <f t="shared" ca="1" si="4"/>
        <v>0</v>
      </c>
      <c r="Y93" s="270"/>
      <c r="Z93" s="270"/>
      <c r="AB93" s="272" t="str">
        <f t="shared" si="5"/>
        <v/>
      </c>
    </row>
    <row r="94" spans="1:28" s="271" customFormat="1" ht="20.25">
      <c r="A94" s="215"/>
      <c r="B94" s="216" t="str">
        <f>IF(LEN(A94)=0,"",INDEX('Smelter Look-up'!$A:$A,MATCH($A94,'Smelter Look-up'!$E:$E,0)))</f>
        <v/>
      </c>
      <c r="C94" s="220" t="str">
        <f>IF(LEN(A94)=0,"",INDEX('Smelter Look-up'!$C:$C,MATCH($A94,'Smelter Look-up'!$E:$E,0)))</f>
        <v/>
      </c>
      <c r="D94" s="216"/>
      <c r="E94" s="216" t="str">
        <f ca="1">IF(ISERROR($V94),"",OFFSET('Smelter Look-up'!$D$4,$V94-4,0)&amp;"")</f>
        <v/>
      </c>
      <c r="F94" s="216" t="str">
        <f ca="1">IF(ISERROR($V94),"",OFFSET('Smelter Look-up'!$E$4,$V94-4,0))</f>
        <v/>
      </c>
      <c r="G94" s="216" t="str">
        <f ca="1">IF(C94=$X$4,"Enter smelter details", IF(ISERROR($V94),"",OFFSET('Smelter Look-up'!$F$4,$V94-4,0)))</f>
        <v/>
      </c>
      <c r="H94" s="217" t="str">
        <f ca="1">IF(ISERROR($V94),"",OFFSET('Smelter Look-up'!$G$4,$V94-4,0))</f>
        <v/>
      </c>
      <c r="I94" s="218" t="str">
        <f ca="1">IF(ISERROR($V94),"",OFFSET('Smelter Look-up'!$H$4,$V94-4,0))</f>
        <v/>
      </c>
      <c r="J94" s="218" t="str">
        <f ca="1">IF(ISERROR($V94),"",OFFSET('Smelter Look-up'!$I$4,$V94-4,0))</f>
        <v/>
      </c>
      <c r="K94" s="267"/>
      <c r="L94" s="267"/>
      <c r="M94" s="267"/>
      <c r="N94" s="267"/>
      <c r="O94" s="267"/>
      <c r="P94" s="219"/>
      <c r="Q94" s="268"/>
      <c r="R94" s="216" t="str">
        <f ca="1">IF(ISERROR($V94),"",OFFSET('Smelter Look-up'!$C$4,$V94-4,0)&amp;"")</f>
        <v/>
      </c>
      <c r="S94" s="224" t="str">
        <f t="shared" ca="1" si="3"/>
        <v/>
      </c>
      <c r="T94" s="224" t="str">
        <f ca="1">IF(B94="","",IF(ISERROR(MATCH($J94,SorP!$B$1:$B$6230,0)),"",INDIRECT("'SorP'!$A$"&amp;MATCH($J94,SorP!$B$1:$B$6230,0))))</f>
        <v/>
      </c>
      <c r="U94" s="239"/>
      <c r="V94" s="269" t="e">
        <f>IF(C94="",NA(),MATCH($B94&amp;$C94,'Smelter Look-up'!$J:$J,0))</f>
        <v>#N/A</v>
      </c>
      <c r="W94" s="270"/>
      <c r="X94" s="270">
        <f t="shared" ca="1" si="4"/>
        <v>0</v>
      </c>
      <c r="Y94" s="270"/>
      <c r="Z94" s="270"/>
      <c r="AB94" s="272" t="str">
        <f t="shared" si="5"/>
        <v/>
      </c>
    </row>
    <row r="95" spans="1:28" s="271" customFormat="1" ht="20.25">
      <c r="A95" s="215"/>
      <c r="B95" s="216" t="str">
        <f>IF(LEN(A95)=0,"",INDEX('Smelter Look-up'!$A:$A,MATCH($A95,'Smelter Look-up'!$E:$E,0)))</f>
        <v/>
      </c>
      <c r="C95" s="220" t="str">
        <f>IF(LEN(A95)=0,"",INDEX('Smelter Look-up'!$C:$C,MATCH($A95,'Smelter Look-up'!$E:$E,0)))</f>
        <v/>
      </c>
      <c r="D95" s="216"/>
      <c r="E95" s="216" t="str">
        <f ca="1">IF(ISERROR($V95),"",OFFSET('Smelter Look-up'!$D$4,$V95-4,0)&amp;"")</f>
        <v/>
      </c>
      <c r="F95" s="216" t="str">
        <f ca="1">IF(ISERROR($V95),"",OFFSET('Smelter Look-up'!$E$4,$V95-4,0))</f>
        <v/>
      </c>
      <c r="G95" s="216" t="str">
        <f ca="1">IF(C95=$X$4,"Enter smelter details", IF(ISERROR($V95),"",OFFSET('Smelter Look-up'!$F$4,$V95-4,0)))</f>
        <v/>
      </c>
      <c r="H95" s="217" t="str">
        <f ca="1">IF(ISERROR($V95),"",OFFSET('Smelter Look-up'!$G$4,$V95-4,0))</f>
        <v/>
      </c>
      <c r="I95" s="218" t="str">
        <f ca="1">IF(ISERROR($V95),"",OFFSET('Smelter Look-up'!$H$4,$V95-4,0))</f>
        <v/>
      </c>
      <c r="J95" s="218" t="str">
        <f ca="1">IF(ISERROR($V95),"",OFFSET('Smelter Look-up'!$I$4,$V95-4,0))</f>
        <v/>
      </c>
      <c r="K95" s="267"/>
      <c r="L95" s="267"/>
      <c r="M95" s="267"/>
      <c r="N95" s="267"/>
      <c r="O95" s="267"/>
      <c r="P95" s="219"/>
      <c r="Q95" s="268"/>
      <c r="R95" s="216" t="str">
        <f ca="1">IF(ISERROR($V95),"",OFFSET('Smelter Look-up'!$C$4,$V95-4,0)&amp;"")</f>
        <v/>
      </c>
      <c r="S95" s="224" t="str">
        <f t="shared" ca="1" si="3"/>
        <v/>
      </c>
      <c r="T95" s="224" t="str">
        <f ca="1">IF(B95="","",IF(ISERROR(MATCH($J95,SorP!$B$1:$B$6230,0)),"",INDIRECT("'SorP'!$A$"&amp;MATCH($J95,SorP!$B$1:$B$6230,0))))</f>
        <v/>
      </c>
      <c r="U95" s="239"/>
      <c r="V95" s="269" t="e">
        <f>IF(C95="",NA(),MATCH($B95&amp;$C95,'Smelter Look-up'!$J:$J,0))</f>
        <v>#N/A</v>
      </c>
      <c r="W95" s="270"/>
      <c r="X95" s="270">
        <f t="shared" ca="1" si="4"/>
        <v>0</v>
      </c>
      <c r="Y95" s="270"/>
      <c r="Z95" s="270"/>
      <c r="AB95" s="272" t="str">
        <f t="shared" si="5"/>
        <v/>
      </c>
    </row>
    <row r="96" spans="1:28" s="271" customFormat="1" ht="20.25">
      <c r="A96" s="215"/>
      <c r="B96" s="216" t="str">
        <f>IF(LEN(A96)=0,"",INDEX('Smelter Look-up'!$A:$A,MATCH($A96,'Smelter Look-up'!$E:$E,0)))</f>
        <v/>
      </c>
      <c r="C96" s="220" t="str">
        <f>IF(LEN(A96)=0,"",INDEX('Smelter Look-up'!$C:$C,MATCH($A96,'Smelter Look-up'!$E:$E,0)))</f>
        <v/>
      </c>
      <c r="D96" s="216"/>
      <c r="E96" s="216" t="str">
        <f ca="1">IF(ISERROR($V96),"",OFFSET('Smelter Look-up'!$D$4,$V96-4,0)&amp;"")</f>
        <v/>
      </c>
      <c r="F96" s="216" t="str">
        <f ca="1">IF(ISERROR($V96),"",OFFSET('Smelter Look-up'!$E$4,$V96-4,0))</f>
        <v/>
      </c>
      <c r="G96" s="216" t="str">
        <f ca="1">IF(C96=$X$4,"Enter smelter details", IF(ISERROR($V96),"",OFFSET('Smelter Look-up'!$F$4,$V96-4,0)))</f>
        <v/>
      </c>
      <c r="H96" s="217" t="str">
        <f ca="1">IF(ISERROR($V96),"",OFFSET('Smelter Look-up'!$G$4,$V96-4,0))</f>
        <v/>
      </c>
      <c r="I96" s="218" t="str">
        <f ca="1">IF(ISERROR($V96),"",OFFSET('Smelter Look-up'!$H$4,$V96-4,0))</f>
        <v/>
      </c>
      <c r="J96" s="218" t="str">
        <f ca="1">IF(ISERROR($V96),"",OFFSET('Smelter Look-up'!$I$4,$V96-4,0))</f>
        <v/>
      </c>
      <c r="K96" s="267"/>
      <c r="L96" s="267"/>
      <c r="M96" s="267"/>
      <c r="N96" s="267"/>
      <c r="O96" s="267"/>
      <c r="P96" s="219"/>
      <c r="Q96" s="268"/>
      <c r="R96" s="216" t="str">
        <f ca="1">IF(ISERROR($V96),"",OFFSET('Smelter Look-up'!$C$4,$V96-4,0)&amp;"")</f>
        <v/>
      </c>
      <c r="S96" s="224" t="str">
        <f t="shared" ca="1" si="3"/>
        <v/>
      </c>
      <c r="T96" s="224" t="str">
        <f ca="1">IF(B96="","",IF(ISERROR(MATCH($J96,SorP!$B$1:$B$6230,0)),"",INDIRECT("'SorP'!$A$"&amp;MATCH($J96,SorP!$B$1:$B$6230,0))))</f>
        <v/>
      </c>
      <c r="U96" s="239"/>
      <c r="V96" s="269" t="e">
        <f>IF(C96="",NA(),MATCH($B96&amp;$C96,'Smelter Look-up'!$J:$J,0))</f>
        <v>#N/A</v>
      </c>
      <c r="W96" s="270"/>
      <c r="X96" s="270">
        <f t="shared" ca="1" si="4"/>
        <v>0</v>
      </c>
      <c r="Y96" s="270"/>
      <c r="Z96" s="270"/>
      <c r="AB96" s="272" t="str">
        <f t="shared" si="5"/>
        <v/>
      </c>
    </row>
    <row r="97" spans="1:28" s="271" customFormat="1" ht="20.25">
      <c r="A97" s="215"/>
      <c r="B97" s="216" t="str">
        <f>IF(LEN(A97)=0,"",INDEX('Smelter Look-up'!$A:$A,MATCH($A97,'Smelter Look-up'!$E:$E,0)))</f>
        <v/>
      </c>
      <c r="C97" s="220" t="str">
        <f>IF(LEN(A97)=0,"",INDEX('Smelter Look-up'!$C:$C,MATCH($A97,'Smelter Look-up'!$E:$E,0)))</f>
        <v/>
      </c>
      <c r="D97" s="216"/>
      <c r="E97" s="216" t="str">
        <f ca="1">IF(ISERROR($V97),"",OFFSET('Smelter Look-up'!$D$4,$V97-4,0)&amp;"")</f>
        <v/>
      </c>
      <c r="F97" s="216" t="str">
        <f ca="1">IF(ISERROR($V97),"",OFFSET('Smelter Look-up'!$E$4,$V97-4,0))</f>
        <v/>
      </c>
      <c r="G97" s="216" t="str">
        <f ca="1">IF(C97=$X$4,"Enter smelter details", IF(ISERROR($V97),"",OFFSET('Smelter Look-up'!$F$4,$V97-4,0)))</f>
        <v/>
      </c>
      <c r="H97" s="217" t="str">
        <f ca="1">IF(ISERROR($V97),"",OFFSET('Smelter Look-up'!$G$4,$V97-4,0))</f>
        <v/>
      </c>
      <c r="I97" s="218" t="str">
        <f ca="1">IF(ISERROR($V97),"",OFFSET('Smelter Look-up'!$H$4,$V97-4,0))</f>
        <v/>
      </c>
      <c r="J97" s="218" t="str">
        <f ca="1">IF(ISERROR($V97),"",OFFSET('Smelter Look-up'!$I$4,$V97-4,0))</f>
        <v/>
      </c>
      <c r="K97" s="267"/>
      <c r="L97" s="267"/>
      <c r="M97" s="267"/>
      <c r="N97" s="267"/>
      <c r="O97" s="267"/>
      <c r="P97" s="219"/>
      <c r="Q97" s="268"/>
      <c r="R97" s="216" t="str">
        <f ca="1">IF(ISERROR($V97),"",OFFSET('Smelter Look-up'!$C$4,$V97-4,0)&amp;"")</f>
        <v/>
      </c>
      <c r="S97" s="224" t="str">
        <f t="shared" ca="1" si="3"/>
        <v/>
      </c>
      <c r="T97" s="224" t="str">
        <f ca="1">IF(B97="","",IF(ISERROR(MATCH($J97,SorP!$B$1:$B$6230,0)),"",INDIRECT("'SorP'!$A$"&amp;MATCH($J97,SorP!$B$1:$B$6230,0))))</f>
        <v/>
      </c>
      <c r="U97" s="239"/>
      <c r="V97" s="269" t="e">
        <f>IF(C97="",NA(),MATCH($B97&amp;$C97,'Smelter Look-up'!$J:$J,0))</f>
        <v>#N/A</v>
      </c>
      <c r="W97" s="270"/>
      <c r="X97" s="270">
        <f t="shared" ca="1" si="4"/>
        <v>0</v>
      </c>
      <c r="Y97" s="270"/>
      <c r="Z97" s="270"/>
      <c r="AB97" s="272" t="str">
        <f t="shared" si="5"/>
        <v/>
      </c>
    </row>
    <row r="98" spans="1:28" s="271" customFormat="1" ht="20.25">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3"/>
        <v/>
      </c>
      <c r="T98" s="224" t="str">
        <f ca="1">IF(B98="","",IF(ISERROR(MATCH($J98,SorP!$B$1:$B$6230,0)),"",INDIRECT("'SorP'!$A$"&amp;MATCH($J98,SorP!$B$1:$B$6230,0))))</f>
        <v/>
      </c>
      <c r="U98" s="239"/>
      <c r="V98" s="269" t="e">
        <f>IF(C98="",NA(),MATCH($B98&amp;$C98,'Smelter Look-up'!$J:$J,0))</f>
        <v>#N/A</v>
      </c>
      <c r="W98" s="270"/>
      <c r="X98" s="270">
        <f t="shared" ca="1" si="4"/>
        <v>0</v>
      </c>
      <c r="Y98" s="270"/>
      <c r="Z98" s="270"/>
      <c r="AB98" s="272" t="str">
        <f t="shared" si="5"/>
        <v/>
      </c>
    </row>
    <row r="99" spans="1:28" s="271" customFormat="1" ht="20.25">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3"/>
        <v/>
      </c>
      <c r="T99" s="224" t="str">
        <f ca="1">IF(B99="","",IF(ISERROR(MATCH($J99,SorP!$B$1:$B$6230,0)),"",INDIRECT("'SorP'!$A$"&amp;MATCH($J99,SorP!$B$1:$B$6230,0))))</f>
        <v/>
      </c>
      <c r="U99" s="239"/>
      <c r="V99" s="269" t="e">
        <f>IF(C99="",NA(),MATCH($B99&amp;$C99,'Smelter Look-up'!$J:$J,0))</f>
        <v>#N/A</v>
      </c>
      <c r="W99" s="270"/>
      <c r="X99" s="270">
        <f t="shared" ca="1" si="4"/>
        <v>0</v>
      </c>
      <c r="Y99" s="270"/>
      <c r="Z99" s="270"/>
      <c r="AB99" s="272" t="str">
        <f t="shared" si="5"/>
        <v/>
      </c>
    </row>
    <row r="100" spans="1:28" s="271" customFormat="1" ht="20.25">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3"/>
        <v/>
      </c>
      <c r="T100" s="224" t="str">
        <f ca="1">IF(B100="","",IF(ISERROR(MATCH($J100,SorP!$B$1:$B$6230,0)),"",INDIRECT("'SorP'!$A$"&amp;MATCH($J100,SorP!$B$1:$B$6230,0))))</f>
        <v/>
      </c>
      <c r="U100" s="239"/>
      <c r="V100" s="269" t="e">
        <f>IF(C100="",NA(),MATCH($B100&amp;$C100,'Smelter Look-up'!$J:$J,0))</f>
        <v>#N/A</v>
      </c>
      <c r="W100" s="270"/>
      <c r="X100" s="270">
        <f t="shared" ca="1" si="4"/>
        <v>0</v>
      </c>
      <c r="Y100" s="270"/>
      <c r="Z100" s="270"/>
      <c r="AB100" s="272" t="str">
        <f t="shared" si="5"/>
        <v/>
      </c>
    </row>
    <row r="101" spans="1:28" s="271" customFormat="1" ht="20.25">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3"/>
        <v/>
      </c>
      <c r="T101" s="224" t="str">
        <f ca="1">IF(B101="","",IF(ISERROR(MATCH($J101,SorP!$B$1:$B$6230,0)),"",INDIRECT("'SorP'!$A$"&amp;MATCH($J101,SorP!$B$1:$B$6230,0))))</f>
        <v/>
      </c>
      <c r="U101" s="239"/>
      <c r="V101" s="269" t="e">
        <f>IF(C101="",NA(),MATCH($B101&amp;$C101,'Smelter Look-up'!$J:$J,0))</f>
        <v>#N/A</v>
      </c>
      <c r="W101" s="270"/>
      <c r="X101" s="270">
        <f t="shared" ca="1" si="4"/>
        <v>0</v>
      </c>
      <c r="Y101" s="270"/>
      <c r="Z101" s="270"/>
      <c r="AB101" s="272" t="str">
        <f t="shared" si="5"/>
        <v/>
      </c>
    </row>
    <row r="102" spans="1:28" s="271" customFormat="1" ht="20.25">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3"/>
        <v/>
      </c>
      <c r="T102" s="224" t="str">
        <f ca="1">IF(B102="","",IF(ISERROR(MATCH($J102,SorP!$B$1:$B$6230,0)),"",INDIRECT("'SorP'!$A$"&amp;MATCH($J102,SorP!$B$1:$B$6230,0))))</f>
        <v/>
      </c>
      <c r="U102" s="239"/>
      <c r="V102" s="269" t="e">
        <f>IF(C102="",NA(),MATCH($B102&amp;$C102,'Smelter Look-up'!$J:$J,0))</f>
        <v>#N/A</v>
      </c>
      <c r="W102" s="270"/>
      <c r="X102" s="270">
        <f t="shared" ca="1" si="4"/>
        <v>0</v>
      </c>
      <c r="Y102" s="270"/>
      <c r="Z102" s="270"/>
      <c r="AB102" s="272" t="str">
        <f t="shared" si="5"/>
        <v/>
      </c>
    </row>
    <row r="103" spans="1:28" s="271" customFormat="1" ht="20.25">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3"/>
        <v/>
      </c>
      <c r="T103" s="224" t="str">
        <f ca="1">IF(B103="","",IF(ISERROR(MATCH($J103,SorP!$B$1:$B$6230,0)),"",INDIRECT("'SorP'!$A$"&amp;MATCH($J103,SorP!$B$1:$B$6230,0))))</f>
        <v/>
      </c>
      <c r="U103" s="239"/>
      <c r="V103" s="269" t="e">
        <f>IF(C103="",NA(),MATCH($B103&amp;$C103,'Smelter Look-up'!$J:$J,0))</f>
        <v>#N/A</v>
      </c>
      <c r="W103" s="270"/>
      <c r="X103" s="270">
        <f t="shared" ca="1" si="4"/>
        <v>0</v>
      </c>
      <c r="Y103" s="270"/>
      <c r="Z103" s="270"/>
      <c r="AB103" s="272" t="str">
        <f t="shared" si="5"/>
        <v/>
      </c>
    </row>
    <row r="104" spans="1:28" s="271" customFormat="1" ht="20.25">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3"/>
        <v/>
      </c>
      <c r="T104" s="224" t="str">
        <f ca="1">IF(B104="","",IF(ISERROR(MATCH($J104,SorP!$B$1:$B$6230,0)),"",INDIRECT("'SorP'!$A$"&amp;MATCH($J104,SorP!$B$1:$B$6230,0))))</f>
        <v/>
      </c>
      <c r="U104" s="239"/>
      <c r="V104" s="269" t="e">
        <f>IF(C104="",NA(),MATCH($B104&amp;$C104,'Smelter Look-up'!$J:$J,0))</f>
        <v>#N/A</v>
      </c>
      <c r="W104" s="270"/>
      <c r="X104" s="270">
        <f t="shared" ca="1" si="4"/>
        <v>0</v>
      </c>
      <c r="Y104" s="270"/>
      <c r="Z104" s="270"/>
      <c r="AB104" s="272" t="str">
        <f t="shared" si="5"/>
        <v/>
      </c>
    </row>
    <row r="105" spans="1:28" s="271" customFormat="1" ht="20.25">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3"/>
        <v/>
      </c>
      <c r="T105" s="224" t="str">
        <f ca="1">IF(B105="","",IF(ISERROR(MATCH($J105,SorP!$B$1:$B$6230,0)),"",INDIRECT("'SorP'!$A$"&amp;MATCH($J105,SorP!$B$1:$B$6230,0))))</f>
        <v/>
      </c>
      <c r="U105" s="239"/>
      <c r="V105" s="269" t="e">
        <f>IF(C105="",NA(),MATCH($B105&amp;$C105,'Smelter Look-up'!$J:$J,0))</f>
        <v>#N/A</v>
      </c>
      <c r="W105" s="270"/>
      <c r="X105" s="270">
        <f t="shared" ca="1" si="4"/>
        <v>0</v>
      </c>
      <c r="Y105" s="270"/>
      <c r="Z105" s="270"/>
      <c r="AB105" s="272" t="str">
        <f t="shared" si="5"/>
        <v/>
      </c>
    </row>
    <row r="106" spans="1:28" s="271" customFormat="1" ht="20.25">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3"/>
        <v/>
      </c>
      <c r="T106" s="224" t="str">
        <f ca="1">IF(B106="","",IF(ISERROR(MATCH($J106,SorP!$B$1:$B$6230,0)),"",INDIRECT("'SorP'!$A$"&amp;MATCH($J106,SorP!$B$1:$B$6230,0))))</f>
        <v/>
      </c>
      <c r="U106" s="239"/>
      <c r="V106" s="269" t="e">
        <f>IF(C106="",NA(),MATCH($B106&amp;$C106,'Smelter Look-up'!$J:$J,0))</f>
        <v>#N/A</v>
      </c>
      <c r="W106" s="270"/>
      <c r="X106" s="270">
        <f t="shared" ca="1" si="4"/>
        <v>0</v>
      </c>
      <c r="Y106" s="270"/>
      <c r="Z106" s="270"/>
      <c r="AB106" s="272" t="str">
        <f t="shared" si="5"/>
        <v/>
      </c>
    </row>
    <row r="107" spans="1:28" s="271" customFormat="1" ht="20.25">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3"/>
        <v/>
      </c>
      <c r="T107" s="224" t="str">
        <f ca="1">IF(B107="","",IF(ISERROR(MATCH($J107,SorP!$B$1:$B$6230,0)),"",INDIRECT("'SorP'!$A$"&amp;MATCH($J107,SorP!$B$1:$B$6230,0))))</f>
        <v/>
      </c>
      <c r="U107" s="239"/>
      <c r="V107" s="269" t="e">
        <f>IF(C107="",NA(),MATCH($B107&amp;$C107,'Smelter Look-up'!$J:$J,0))</f>
        <v>#N/A</v>
      </c>
      <c r="W107" s="270"/>
      <c r="X107" s="270">
        <f t="shared" ca="1" si="4"/>
        <v>0</v>
      </c>
      <c r="Y107" s="270"/>
      <c r="Z107" s="270"/>
      <c r="AB107" s="272" t="str">
        <f t="shared" si="5"/>
        <v/>
      </c>
    </row>
    <row r="108" spans="1:28" s="271" customFormat="1" ht="20.25">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3"/>
        <v/>
      </c>
      <c r="T108" s="224" t="str">
        <f ca="1">IF(B108="","",IF(ISERROR(MATCH($J108,SorP!$B$1:$B$6230,0)),"",INDIRECT("'SorP'!$A$"&amp;MATCH($J108,SorP!$B$1:$B$6230,0))))</f>
        <v/>
      </c>
      <c r="U108" s="239"/>
      <c r="V108" s="269" t="e">
        <f>IF(C108="",NA(),MATCH($B108&amp;$C108,'Smelter Look-up'!$J:$J,0))</f>
        <v>#N/A</v>
      </c>
      <c r="W108" s="270"/>
      <c r="X108" s="270">
        <f t="shared" ca="1" si="4"/>
        <v>0</v>
      </c>
      <c r="Y108" s="270"/>
      <c r="Z108" s="270"/>
      <c r="AB108" s="272" t="str">
        <f t="shared" si="5"/>
        <v/>
      </c>
    </row>
    <row r="109" spans="1:28" s="271" customFormat="1" ht="20.25">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3"/>
        <v/>
      </c>
      <c r="T109" s="224" t="str">
        <f ca="1">IF(B109="","",IF(ISERROR(MATCH($J109,SorP!$B$1:$B$6230,0)),"",INDIRECT("'SorP'!$A$"&amp;MATCH($J109,SorP!$B$1:$B$6230,0))))</f>
        <v/>
      </c>
      <c r="U109" s="239"/>
      <c r="V109" s="269" t="e">
        <f>IF(C109="",NA(),MATCH($B109&amp;$C109,'Smelter Look-up'!$J:$J,0))</f>
        <v>#N/A</v>
      </c>
      <c r="W109" s="270"/>
      <c r="X109" s="270">
        <f t="shared" ca="1" si="4"/>
        <v>0</v>
      </c>
      <c r="Y109" s="270"/>
      <c r="Z109" s="270"/>
      <c r="AB109" s="272" t="str">
        <f t="shared" si="5"/>
        <v/>
      </c>
    </row>
    <row r="110" spans="1:28" s="271" customFormat="1" ht="20.25">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3"/>
        <v/>
      </c>
      <c r="T110" s="224" t="str">
        <f ca="1">IF(B110="","",IF(ISERROR(MATCH($J110,SorP!$B$1:$B$6230,0)),"",INDIRECT("'SorP'!$A$"&amp;MATCH($J110,SorP!$B$1:$B$6230,0))))</f>
        <v/>
      </c>
      <c r="U110" s="239"/>
      <c r="V110" s="269" t="e">
        <f>IF(C110="",NA(),MATCH($B110&amp;$C110,'Smelter Look-up'!$J:$J,0))</f>
        <v>#N/A</v>
      </c>
      <c r="W110" s="270"/>
      <c r="X110" s="270">
        <f t="shared" ca="1" si="4"/>
        <v>0</v>
      </c>
      <c r="Y110" s="270"/>
      <c r="Z110" s="270"/>
      <c r="AB110" s="272" t="str">
        <f t="shared" si="5"/>
        <v/>
      </c>
    </row>
    <row r="111" spans="1:28" s="271" customFormat="1" ht="20.25">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3"/>
        <v/>
      </c>
      <c r="T111" s="224" t="str">
        <f ca="1">IF(B111="","",IF(ISERROR(MATCH($J111,SorP!$B$1:$B$6230,0)),"",INDIRECT("'SorP'!$A$"&amp;MATCH($J111,SorP!$B$1:$B$6230,0))))</f>
        <v/>
      </c>
      <c r="U111" s="239"/>
      <c r="V111" s="269" t="e">
        <f>IF(C111="",NA(),MATCH($B111&amp;$C111,'Smelter Look-up'!$J:$J,0))</f>
        <v>#N/A</v>
      </c>
      <c r="W111" s="270"/>
      <c r="X111" s="270">
        <f t="shared" ca="1" si="4"/>
        <v>0</v>
      </c>
      <c r="Y111" s="270"/>
      <c r="Z111" s="270"/>
      <c r="AB111" s="272" t="str">
        <f t="shared" si="5"/>
        <v/>
      </c>
    </row>
    <row r="112" spans="1:28" s="271" customFormat="1" ht="20.25">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3"/>
        <v/>
      </c>
      <c r="T112" s="224" t="str">
        <f ca="1">IF(B112="","",IF(ISERROR(MATCH($J112,SorP!$B$1:$B$6230,0)),"",INDIRECT("'SorP'!$A$"&amp;MATCH($J112,SorP!$B$1:$B$6230,0))))</f>
        <v/>
      </c>
      <c r="U112" s="239"/>
      <c r="V112" s="269" t="e">
        <f>IF(C112="",NA(),MATCH($B112&amp;$C112,'Smelter Look-up'!$J:$J,0))</f>
        <v>#N/A</v>
      </c>
      <c r="W112" s="270"/>
      <c r="X112" s="270">
        <f t="shared" ca="1" si="4"/>
        <v>0</v>
      </c>
      <c r="Y112" s="270"/>
      <c r="Z112" s="270"/>
      <c r="AB112" s="272" t="str">
        <f t="shared" si="5"/>
        <v/>
      </c>
    </row>
    <row r="113" spans="1:28" s="271" customFormat="1" ht="20.25">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3"/>
        <v/>
      </c>
      <c r="T113" s="224" t="str">
        <f ca="1">IF(B113="","",IF(ISERROR(MATCH($J113,SorP!$B$1:$B$6230,0)),"",INDIRECT("'SorP'!$A$"&amp;MATCH($J113,SorP!$B$1:$B$6230,0))))</f>
        <v/>
      </c>
      <c r="U113" s="239"/>
      <c r="V113" s="269" t="e">
        <f>IF(C113="",NA(),MATCH($B113&amp;$C113,'Smelter Look-up'!$J:$J,0))</f>
        <v>#N/A</v>
      </c>
      <c r="W113" s="270"/>
      <c r="X113" s="270">
        <f t="shared" ca="1" si="4"/>
        <v>0</v>
      </c>
      <c r="Y113" s="270"/>
      <c r="Z113" s="270"/>
      <c r="AB113" s="272" t="str">
        <f t="shared" si="5"/>
        <v/>
      </c>
    </row>
    <row r="114" spans="1:28" s="271" customFormat="1" ht="20.25">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3"/>
        <v/>
      </c>
      <c r="T114" s="224" t="str">
        <f ca="1">IF(B114="","",IF(ISERROR(MATCH($J114,SorP!$B$1:$B$6230,0)),"",INDIRECT("'SorP'!$A$"&amp;MATCH($J114,SorP!$B$1:$B$6230,0))))</f>
        <v/>
      </c>
      <c r="U114" s="239"/>
      <c r="V114" s="269" t="e">
        <f>IF(C114="",NA(),MATCH($B114&amp;$C114,'Smelter Look-up'!$J:$J,0))</f>
        <v>#N/A</v>
      </c>
      <c r="W114" s="270"/>
      <c r="X114" s="270">
        <f t="shared" ca="1" si="4"/>
        <v>0</v>
      </c>
      <c r="Y114" s="270"/>
      <c r="Z114" s="270"/>
      <c r="AB114" s="272" t="str">
        <f t="shared" si="5"/>
        <v/>
      </c>
    </row>
    <row r="115" spans="1:28" s="271" customFormat="1" ht="20.25">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3"/>
        <v/>
      </c>
      <c r="T115" s="224" t="str">
        <f ca="1">IF(B115="","",IF(ISERROR(MATCH($J115,SorP!$B$1:$B$6230,0)),"",INDIRECT("'SorP'!$A$"&amp;MATCH($J115,SorP!$B$1:$B$6230,0))))</f>
        <v/>
      </c>
      <c r="U115" s="239"/>
      <c r="V115" s="269" t="e">
        <f>IF(C115="",NA(),MATCH($B115&amp;$C115,'Smelter Look-up'!$J:$J,0))</f>
        <v>#N/A</v>
      </c>
      <c r="W115" s="270"/>
      <c r="X115" s="270">
        <f t="shared" ca="1" si="4"/>
        <v>0</v>
      </c>
      <c r="Y115" s="270"/>
      <c r="Z115" s="270"/>
      <c r="AB115" s="272" t="str">
        <f t="shared" si="5"/>
        <v/>
      </c>
    </row>
    <row r="116" spans="1:28" s="271" customFormat="1" ht="20.25">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3"/>
        <v/>
      </c>
      <c r="T116" s="224" t="str">
        <f ca="1">IF(B116="","",IF(ISERROR(MATCH($J116,SorP!$B$1:$B$6230,0)),"",INDIRECT("'SorP'!$A$"&amp;MATCH($J116,SorP!$B$1:$B$6230,0))))</f>
        <v/>
      </c>
      <c r="U116" s="239"/>
      <c r="V116" s="269" t="e">
        <f>IF(C116="",NA(),MATCH($B116&amp;$C116,'Smelter Look-up'!$J:$J,0))</f>
        <v>#N/A</v>
      </c>
      <c r="W116" s="270"/>
      <c r="X116" s="270">
        <f t="shared" ca="1" si="4"/>
        <v>0</v>
      </c>
      <c r="Y116" s="270"/>
      <c r="Z116" s="270"/>
      <c r="AB116" s="272" t="str">
        <f t="shared" si="5"/>
        <v/>
      </c>
    </row>
    <row r="117" spans="1:28" s="271" customFormat="1" ht="20.25">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3"/>
        <v/>
      </c>
      <c r="T117" s="224" t="str">
        <f ca="1">IF(B117="","",IF(ISERROR(MATCH($J117,SorP!$B$1:$B$6230,0)),"",INDIRECT("'SorP'!$A$"&amp;MATCH($J117,SorP!$B$1:$B$6230,0))))</f>
        <v/>
      </c>
      <c r="U117" s="239"/>
      <c r="V117" s="269" t="e">
        <f>IF(C117="",NA(),MATCH($B117&amp;$C117,'Smelter Look-up'!$J:$J,0))</f>
        <v>#N/A</v>
      </c>
      <c r="W117" s="270"/>
      <c r="X117" s="270">
        <f t="shared" ca="1" si="4"/>
        <v>0</v>
      </c>
      <c r="Y117" s="270"/>
      <c r="Z117" s="270"/>
      <c r="AB117" s="272" t="str">
        <f t="shared" si="5"/>
        <v/>
      </c>
    </row>
    <row r="118" spans="1:28" s="271" customFormat="1" ht="20.25">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3"/>
        <v/>
      </c>
      <c r="T118" s="224" t="str">
        <f ca="1">IF(B118="","",IF(ISERROR(MATCH($J118,SorP!$B$1:$B$6230,0)),"",INDIRECT("'SorP'!$A$"&amp;MATCH($J118,SorP!$B$1:$B$6230,0))))</f>
        <v/>
      </c>
      <c r="U118" s="239"/>
      <c r="V118" s="269" t="e">
        <f>IF(C118="",NA(),MATCH($B118&amp;$C118,'Smelter Look-up'!$J:$J,0))</f>
        <v>#N/A</v>
      </c>
      <c r="W118" s="270"/>
      <c r="X118" s="270">
        <f t="shared" ca="1" si="4"/>
        <v>0</v>
      </c>
      <c r="Y118" s="270"/>
      <c r="Z118" s="270"/>
      <c r="AB118" s="272" t="str">
        <f t="shared" si="5"/>
        <v/>
      </c>
    </row>
    <row r="119" spans="1:28" s="271" customFormat="1" ht="20.25">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3"/>
        <v/>
      </c>
      <c r="T119" s="224" t="str">
        <f ca="1">IF(B119="","",IF(ISERROR(MATCH($J119,SorP!$B$1:$B$6230,0)),"",INDIRECT("'SorP'!$A$"&amp;MATCH($J119,SorP!$B$1:$B$6230,0))))</f>
        <v/>
      </c>
      <c r="U119" s="239"/>
      <c r="V119" s="269" t="e">
        <f>IF(C119="",NA(),MATCH($B119&amp;$C119,'Smelter Look-up'!$J:$J,0))</f>
        <v>#N/A</v>
      </c>
      <c r="W119" s="270"/>
      <c r="X119" s="270">
        <f t="shared" ca="1" si="4"/>
        <v>0</v>
      </c>
      <c r="Y119" s="270"/>
      <c r="Z119" s="270"/>
      <c r="AB119" s="272" t="str">
        <f t="shared" si="5"/>
        <v/>
      </c>
    </row>
    <row r="120" spans="1:28" s="271" customFormat="1" ht="20.25">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3"/>
        <v/>
      </c>
      <c r="T120" s="224" t="str">
        <f ca="1">IF(B120="","",IF(ISERROR(MATCH($J120,SorP!$B$1:$B$6230,0)),"",INDIRECT("'SorP'!$A$"&amp;MATCH($J120,SorP!$B$1:$B$6230,0))))</f>
        <v/>
      </c>
      <c r="U120" s="239"/>
      <c r="V120" s="269" t="e">
        <f>IF(C120="",NA(),MATCH($B120&amp;$C120,'Smelter Look-up'!$J:$J,0))</f>
        <v>#N/A</v>
      </c>
      <c r="W120" s="270"/>
      <c r="X120" s="270">
        <f t="shared" ca="1" si="4"/>
        <v>0</v>
      </c>
      <c r="Y120" s="270"/>
      <c r="Z120" s="270"/>
      <c r="AB120" s="272" t="str">
        <f t="shared" si="5"/>
        <v/>
      </c>
    </row>
    <row r="121" spans="1:28" s="271" customFormat="1" ht="20.25">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3"/>
        <v/>
      </c>
      <c r="T121" s="224" t="str">
        <f ca="1">IF(B121="","",IF(ISERROR(MATCH($J121,SorP!$B$1:$B$6230,0)),"",INDIRECT("'SorP'!$A$"&amp;MATCH($J121,SorP!$B$1:$B$6230,0))))</f>
        <v/>
      </c>
      <c r="U121" s="239"/>
      <c r="V121" s="269" t="e">
        <f>IF(C121="",NA(),MATCH($B121&amp;$C121,'Smelter Look-up'!$J:$J,0))</f>
        <v>#N/A</v>
      </c>
      <c r="W121" s="270"/>
      <c r="X121" s="270">
        <f t="shared" ca="1" si="4"/>
        <v>0</v>
      </c>
      <c r="Y121" s="270"/>
      <c r="Z121" s="270"/>
      <c r="AB121" s="272" t="str">
        <f t="shared" si="5"/>
        <v/>
      </c>
    </row>
    <row r="122" spans="1:28" s="271" customFormat="1" ht="20.25">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3"/>
        <v/>
      </c>
      <c r="T122" s="224" t="str">
        <f ca="1">IF(B122="","",IF(ISERROR(MATCH($J122,SorP!$B$1:$B$6230,0)),"",INDIRECT("'SorP'!$A$"&amp;MATCH($J122,SorP!$B$1:$B$6230,0))))</f>
        <v/>
      </c>
      <c r="U122" s="239"/>
      <c r="V122" s="269" t="e">
        <f>IF(C122="",NA(),MATCH($B122&amp;$C122,'Smelter Look-up'!$J:$J,0))</f>
        <v>#N/A</v>
      </c>
      <c r="W122" s="270"/>
      <c r="X122" s="270">
        <f t="shared" ca="1" si="4"/>
        <v>0</v>
      </c>
      <c r="Y122" s="270"/>
      <c r="Z122" s="270"/>
      <c r="AB122" s="272" t="str">
        <f t="shared" si="5"/>
        <v/>
      </c>
    </row>
    <row r="123" spans="1:28" s="271" customFormat="1" ht="20.25">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3"/>
        <v/>
      </c>
      <c r="T123" s="224" t="str">
        <f ca="1">IF(B123="","",IF(ISERROR(MATCH($J123,SorP!$B$1:$B$6230,0)),"",INDIRECT("'SorP'!$A$"&amp;MATCH($J123,SorP!$B$1:$B$6230,0))))</f>
        <v/>
      </c>
      <c r="U123" s="239"/>
      <c r="V123" s="269" t="e">
        <f>IF(C123="",NA(),MATCH($B123&amp;$C123,'Smelter Look-up'!$J:$J,0))</f>
        <v>#N/A</v>
      </c>
      <c r="W123" s="270"/>
      <c r="X123" s="270">
        <f t="shared" ca="1" si="4"/>
        <v>0</v>
      </c>
      <c r="Y123" s="270"/>
      <c r="Z123" s="270"/>
      <c r="AB123" s="272" t="str">
        <f t="shared" si="5"/>
        <v/>
      </c>
    </row>
    <row r="124" spans="1:28" s="271" customFormat="1" ht="20.25">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3"/>
        <v/>
      </c>
      <c r="T124" s="224" t="str">
        <f ca="1">IF(B124="","",IF(ISERROR(MATCH($J124,SorP!$B$1:$B$6230,0)),"",INDIRECT("'SorP'!$A$"&amp;MATCH($J124,SorP!$B$1:$B$6230,0))))</f>
        <v/>
      </c>
      <c r="U124" s="239"/>
      <c r="V124" s="269" t="e">
        <f>IF(C124="",NA(),MATCH($B124&amp;$C124,'Smelter Look-up'!$J:$J,0))</f>
        <v>#N/A</v>
      </c>
      <c r="W124" s="270"/>
      <c r="X124" s="270">
        <f t="shared" ca="1" si="4"/>
        <v>0</v>
      </c>
      <c r="Y124" s="270"/>
      <c r="Z124" s="270"/>
      <c r="AB124" s="272" t="str">
        <f t="shared" si="5"/>
        <v/>
      </c>
    </row>
    <row r="125" spans="1:28" s="271" customFormat="1" ht="20.25">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3"/>
        <v/>
      </c>
      <c r="T125" s="224" t="str">
        <f ca="1">IF(B125="","",IF(ISERROR(MATCH($J125,SorP!$B$1:$B$6230,0)),"",INDIRECT("'SorP'!$A$"&amp;MATCH($J125,SorP!$B$1:$B$6230,0))))</f>
        <v/>
      </c>
      <c r="U125" s="239"/>
      <c r="V125" s="269" t="e">
        <f>IF(C125="",NA(),MATCH($B125&amp;$C125,'Smelter Look-up'!$J:$J,0))</f>
        <v>#N/A</v>
      </c>
      <c r="W125" s="270"/>
      <c r="X125" s="270">
        <f t="shared" ca="1" si="4"/>
        <v>0</v>
      </c>
      <c r="Y125" s="270"/>
      <c r="Z125" s="270"/>
      <c r="AB125" s="272" t="str">
        <f t="shared" si="5"/>
        <v/>
      </c>
    </row>
    <row r="126" spans="1:28" s="271" customFormat="1" ht="20.25">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3"/>
        <v/>
      </c>
      <c r="T126" s="224" t="str">
        <f ca="1">IF(B126="","",IF(ISERROR(MATCH($J126,SorP!$B$1:$B$6230,0)),"",INDIRECT("'SorP'!$A$"&amp;MATCH($J126,SorP!$B$1:$B$6230,0))))</f>
        <v/>
      </c>
      <c r="U126" s="239"/>
      <c r="V126" s="269" t="e">
        <f>IF(C126="",NA(),MATCH($B126&amp;$C126,'Smelter Look-up'!$J:$J,0))</f>
        <v>#N/A</v>
      </c>
      <c r="W126" s="270"/>
      <c r="X126" s="270">
        <f t="shared" ca="1" si="4"/>
        <v>0</v>
      </c>
      <c r="Y126" s="270"/>
      <c r="Z126" s="270"/>
      <c r="AB126" s="272" t="str">
        <f t="shared" si="5"/>
        <v/>
      </c>
    </row>
    <row r="127" spans="1:28" s="271" customFormat="1" ht="20.25">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3"/>
        <v/>
      </c>
      <c r="T127" s="224" t="str">
        <f ca="1">IF(B127="","",IF(ISERROR(MATCH($J127,SorP!$B$1:$B$6230,0)),"",INDIRECT("'SorP'!$A$"&amp;MATCH($J127,SorP!$B$1:$B$6230,0))))</f>
        <v/>
      </c>
      <c r="U127" s="239"/>
      <c r="V127" s="269" t="e">
        <f>IF(C127="",NA(),MATCH($B127&amp;$C127,'Smelter Look-up'!$J:$J,0))</f>
        <v>#N/A</v>
      </c>
      <c r="W127" s="270"/>
      <c r="X127" s="270">
        <f t="shared" ca="1" si="4"/>
        <v>0</v>
      </c>
      <c r="Y127" s="270"/>
      <c r="Z127" s="270"/>
      <c r="AB127" s="272" t="str">
        <f t="shared" si="5"/>
        <v/>
      </c>
    </row>
    <row r="128" spans="1:28" s="271" customFormat="1" ht="20.25">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3"/>
        <v/>
      </c>
      <c r="T128" s="224" t="str">
        <f ca="1">IF(B128="","",IF(ISERROR(MATCH($J128,SorP!$B$1:$B$6230,0)),"",INDIRECT("'SorP'!$A$"&amp;MATCH($J128,SorP!$B$1:$B$6230,0))))</f>
        <v/>
      </c>
      <c r="U128" s="239"/>
      <c r="V128" s="269" t="e">
        <f>IF(C128="",NA(),MATCH($B128&amp;$C128,'Smelter Look-up'!$J:$J,0))</f>
        <v>#N/A</v>
      </c>
      <c r="W128" s="270"/>
      <c r="X128" s="270">
        <f t="shared" ca="1" si="4"/>
        <v>0</v>
      </c>
      <c r="Y128" s="270"/>
      <c r="Z128" s="270"/>
      <c r="AB128" s="272" t="str">
        <f t="shared" si="5"/>
        <v/>
      </c>
    </row>
    <row r="129" spans="1:28" s="271" customFormat="1" ht="20.25">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3"/>
        <v/>
      </c>
      <c r="T129" s="224" t="str">
        <f ca="1">IF(B129="","",IF(ISERROR(MATCH($J129,SorP!$B$1:$B$6230,0)),"",INDIRECT("'SorP'!$A$"&amp;MATCH($J129,SorP!$B$1:$B$6230,0))))</f>
        <v/>
      </c>
      <c r="U129" s="239"/>
      <c r="V129" s="269" t="e">
        <f>IF(C129="",NA(),MATCH($B129&amp;$C129,'Smelter Look-up'!$J:$J,0))</f>
        <v>#N/A</v>
      </c>
      <c r="W129" s="270"/>
      <c r="X129" s="270">
        <f t="shared" ca="1" si="4"/>
        <v>0</v>
      </c>
      <c r="Y129" s="270"/>
      <c r="Z129" s="270"/>
      <c r="AB129" s="272" t="str">
        <f t="shared" si="5"/>
        <v/>
      </c>
    </row>
    <row r="130" spans="1:28" s="271" customFormat="1" ht="20.25">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3"/>
        <v/>
      </c>
      <c r="T130" s="224" t="str">
        <f ca="1">IF(B130="","",IF(ISERROR(MATCH($J130,SorP!$B$1:$B$6230,0)),"",INDIRECT("'SorP'!$A$"&amp;MATCH($J130,SorP!$B$1:$B$6230,0))))</f>
        <v/>
      </c>
      <c r="U130" s="239"/>
      <c r="V130" s="269" t="e">
        <f>IF(C130="",NA(),MATCH($B130&amp;$C130,'Smelter Look-up'!$J:$J,0))</f>
        <v>#N/A</v>
      </c>
      <c r="W130" s="270"/>
      <c r="X130" s="270">
        <f t="shared" ca="1" si="4"/>
        <v>0</v>
      </c>
      <c r="Y130" s="270"/>
      <c r="Z130" s="270"/>
      <c r="AB130" s="272" t="str">
        <f t="shared" si="5"/>
        <v/>
      </c>
    </row>
    <row r="131" spans="1:28" s="271" customFormat="1" ht="20.25">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3"/>
        <v/>
      </c>
      <c r="T131" s="224" t="str">
        <f ca="1">IF(B131="","",IF(ISERROR(MATCH($J131,SorP!$B$1:$B$6230,0)),"",INDIRECT("'SorP'!$A$"&amp;MATCH($J131,SorP!$B$1:$B$6230,0))))</f>
        <v/>
      </c>
      <c r="U131" s="239"/>
      <c r="V131" s="269" t="e">
        <f>IF(C131="",NA(),MATCH($B131&amp;$C131,'Smelter Look-up'!$J:$J,0))</f>
        <v>#N/A</v>
      </c>
      <c r="W131" s="270"/>
      <c r="X131" s="270">
        <f t="shared" ca="1" si="4"/>
        <v>0</v>
      </c>
      <c r="Y131" s="270"/>
      <c r="Z131" s="270"/>
      <c r="AB131" s="272" t="str">
        <f t="shared" si="5"/>
        <v/>
      </c>
    </row>
    <row r="132" spans="1:28" s="271" customFormat="1" ht="20.25">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3"/>
        <v/>
      </c>
      <c r="T132" s="224" t="str">
        <f ca="1">IF(B132="","",IF(ISERROR(MATCH($J132,SorP!$B$1:$B$6230,0)),"",INDIRECT("'SorP'!$A$"&amp;MATCH($J132,SorP!$B$1:$B$6230,0))))</f>
        <v/>
      </c>
      <c r="U132" s="239"/>
      <c r="V132" s="269" t="e">
        <f>IF(C132="",NA(),MATCH($B132&amp;$C132,'Smelter Look-up'!$J:$J,0))</f>
        <v>#N/A</v>
      </c>
      <c r="W132" s="270"/>
      <c r="X132" s="270">
        <f t="shared" ca="1" si="4"/>
        <v>0</v>
      </c>
      <c r="Y132" s="270"/>
      <c r="Z132" s="270"/>
      <c r="AB132" s="272" t="str">
        <f t="shared" si="5"/>
        <v/>
      </c>
    </row>
    <row r="133" spans="1:28" s="271" customFormat="1" ht="20.25">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6">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7">IF(AND(C133="Smelter not listed",OR(LEN(D133)=0,LEN(E133)=0)),1,0)</f>
        <v>0</v>
      </c>
      <c r="Y133" s="270"/>
      <c r="Z133" s="270"/>
      <c r="AB133" s="272" t="str">
        <f t="shared" ref="AB133:AB196" si="8">B133&amp;C133</f>
        <v/>
      </c>
    </row>
    <row r="134" spans="1:28" s="271" customFormat="1" ht="20.25">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6"/>
        <v/>
      </c>
      <c r="T134" s="224" t="str">
        <f ca="1">IF(B134="","",IF(ISERROR(MATCH($J134,SorP!$B$1:$B$6230,0)),"",INDIRECT("'SorP'!$A$"&amp;MATCH($J134,SorP!$B$1:$B$6230,0))))</f>
        <v/>
      </c>
      <c r="U134" s="239"/>
      <c r="V134" s="269" t="e">
        <f>IF(C134="",NA(),MATCH($B134&amp;$C134,'Smelter Look-up'!$J:$J,0))</f>
        <v>#N/A</v>
      </c>
      <c r="W134" s="270"/>
      <c r="X134" s="270">
        <f t="shared" ca="1" si="7"/>
        <v>0</v>
      </c>
      <c r="Y134" s="270"/>
      <c r="Z134" s="270"/>
      <c r="AB134" s="272" t="str">
        <f t="shared" si="8"/>
        <v/>
      </c>
    </row>
    <row r="135" spans="1:28" s="271" customFormat="1" ht="20.25">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6"/>
        <v/>
      </c>
      <c r="T135" s="224" t="str">
        <f ca="1">IF(B135="","",IF(ISERROR(MATCH($J135,SorP!$B$1:$B$6230,0)),"",INDIRECT("'SorP'!$A$"&amp;MATCH($J135,SorP!$B$1:$B$6230,0))))</f>
        <v/>
      </c>
      <c r="U135" s="239"/>
      <c r="V135" s="269" t="e">
        <f>IF(C135="",NA(),MATCH($B135&amp;$C135,'Smelter Look-up'!$J:$J,0))</f>
        <v>#N/A</v>
      </c>
      <c r="W135" s="270"/>
      <c r="X135" s="270">
        <f t="shared" ca="1" si="7"/>
        <v>0</v>
      </c>
      <c r="Y135" s="270"/>
      <c r="Z135" s="270"/>
      <c r="AB135" s="272" t="str">
        <f t="shared" si="8"/>
        <v/>
      </c>
    </row>
    <row r="136" spans="1:28" s="271" customFormat="1" ht="20.25">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6"/>
        <v/>
      </c>
      <c r="T136" s="224" t="str">
        <f ca="1">IF(B136="","",IF(ISERROR(MATCH($J136,SorP!$B$1:$B$6230,0)),"",INDIRECT("'SorP'!$A$"&amp;MATCH($J136,SorP!$B$1:$B$6230,0))))</f>
        <v/>
      </c>
      <c r="U136" s="239"/>
      <c r="V136" s="269" t="e">
        <f>IF(C136="",NA(),MATCH($B136&amp;$C136,'Smelter Look-up'!$J:$J,0))</f>
        <v>#N/A</v>
      </c>
      <c r="W136" s="270"/>
      <c r="X136" s="270">
        <f t="shared" ca="1" si="7"/>
        <v>0</v>
      </c>
      <c r="Y136" s="270"/>
      <c r="Z136" s="270"/>
      <c r="AB136" s="272" t="str">
        <f t="shared" si="8"/>
        <v/>
      </c>
    </row>
    <row r="137" spans="1:28" s="271" customFormat="1" ht="20.25">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6"/>
        <v/>
      </c>
      <c r="T137" s="224" t="str">
        <f ca="1">IF(B137="","",IF(ISERROR(MATCH($J137,SorP!$B$1:$B$6230,0)),"",INDIRECT("'SorP'!$A$"&amp;MATCH($J137,SorP!$B$1:$B$6230,0))))</f>
        <v/>
      </c>
      <c r="U137" s="239"/>
      <c r="V137" s="269" t="e">
        <f>IF(C137="",NA(),MATCH($B137&amp;$C137,'Smelter Look-up'!$J:$J,0))</f>
        <v>#N/A</v>
      </c>
      <c r="W137" s="270"/>
      <c r="X137" s="270">
        <f t="shared" ca="1" si="7"/>
        <v>0</v>
      </c>
      <c r="Y137" s="270"/>
      <c r="Z137" s="270"/>
      <c r="AB137" s="272" t="str">
        <f t="shared" si="8"/>
        <v/>
      </c>
    </row>
    <row r="138" spans="1:28" s="271" customFormat="1" ht="20.25">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6"/>
        <v/>
      </c>
      <c r="T138" s="224" t="str">
        <f ca="1">IF(B138="","",IF(ISERROR(MATCH($J138,SorP!$B$1:$B$6230,0)),"",INDIRECT("'SorP'!$A$"&amp;MATCH($J138,SorP!$B$1:$B$6230,0))))</f>
        <v/>
      </c>
      <c r="U138" s="239"/>
      <c r="V138" s="269" t="e">
        <f>IF(C138="",NA(),MATCH($B138&amp;$C138,'Smelter Look-up'!$J:$J,0))</f>
        <v>#N/A</v>
      </c>
      <c r="W138" s="270"/>
      <c r="X138" s="270">
        <f t="shared" ca="1" si="7"/>
        <v>0</v>
      </c>
      <c r="Y138" s="270"/>
      <c r="Z138" s="270"/>
      <c r="AB138" s="272" t="str">
        <f t="shared" si="8"/>
        <v/>
      </c>
    </row>
    <row r="139" spans="1:28" s="271" customFormat="1" ht="20.25">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6"/>
        <v/>
      </c>
      <c r="T139" s="224" t="str">
        <f ca="1">IF(B139="","",IF(ISERROR(MATCH($J139,SorP!$B$1:$B$6230,0)),"",INDIRECT("'SorP'!$A$"&amp;MATCH($J139,SorP!$B$1:$B$6230,0))))</f>
        <v/>
      </c>
      <c r="U139" s="239"/>
      <c r="V139" s="269" t="e">
        <f>IF(C139="",NA(),MATCH($B139&amp;$C139,'Smelter Look-up'!$J:$J,0))</f>
        <v>#N/A</v>
      </c>
      <c r="W139" s="270"/>
      <c r="X139" s="270">
        <f t="shared" ca="1" si="7"/>
        <v>0</v>
      </c>
      <c r="Y139" s="270"/>
      <c r="Z139" s="270"/>
      <c r="AB139" s="272" t="str">
        <f t="shared" si="8"/>
        <v/>
      </c>
    </row>
    <row r="140" spans="1:28" s="271" customFormat="1" ht="20.25">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6"/>
        <v/>
      </c>
      <c r="T140" s="224" t="str">
        <f ca="1">IF(B140="","",IF(ISERROR(MATCH($J140,SorP!$B$1:$B$6230,0)),"",INDIRECT("'SorP'!$A$"&amp;MATCH($J140,SorP!$B$1:$B$6230,0))))</f>
        <v/>
      </c>
      <c r="U140" s="239"/>
      <c r="V140" s="269" t="e">
        <f>IF(C140="",NA(),MATCH($B140&amp;$C140,'Smelter Look-up'!$J:$J,0))</f>
        <v>#N/A</v>
      </c>
      <c r="W140" s="270"/>
      <c r="X140" s="270">
        <f t="shared" ca="1" si="7"/>
        <v>0</v>
      </c>
      <c r="Y140" s="270"/>
      <c r="Z140" s="270"/>
      <c r="AB140" s="272" t="str">
        <f t="shared" si="8"/>
        <v/>
      </c>
    </row>
    <row r="141" spans="1:28" s="271" customFormat="1" ht="20.25">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6"/>
        <v/>
      </c>
      <c r="T141" s="224" t="str">
        <f ca="1">IF(B141="","",IF(ISERROR(MATCH($J141,SorP!$B$1:$B$6230,0)),"",INDIRECT("'SorP'!$A$"&amp;MATCH($J141,SorP!$B$1:$B$6230,0))))</f>
        <v/>
      </c>
      <c r="U141" s="239"/>
      <c r="V141" s="269" t="e">
        <f>IF(C141="",NA(),MATCH($B141&amp;$C141,'Smelter Look-up'!$J:$J,0))</f>
        <v>#N/A</v>
      </c>
      <c r="W141" s="270"/>
      <c r="X141" s="270">
        <f t="shared" ca="1" si="7"/>
        <v>0</v>
      </c>
      <c r="Y141" s="270"/>
      <c r="Z141" s="270"/>
      <c r="AB141" s="272" t="str">
        <f t="shared" si="8"/>
        <v/>
      </c>
    </row>
    <row r="142" spans="1:28" s="271" customFormat="1" ht="20.25">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6"/>
        <v/>
      </c>
      <c r="T142" s="224" t="str">
        <f ca="1">IF(B142="","",IF(ISERROR(MATCH($J142,SorP!$B$1:$B$6230,0)),"",INDIRECT("'SorP'!$A$"&amp;MATCH($J142,SorP!$B$1:$B$6230,0))))</f>
        <v/>
      </c>
      <c r="U142" s="239"/>
      <c r="V142" s="269" t="e">
        <f>IF(C142="",NA(),MATCH($B142&amp;$C142,'Smelter Look-up'!$J:$J,0))</f>
        <v>#N/A</v>
      </c>
      <c r="W142" s="270"/>
      <c r="X142" s="270">
        <f t="shared" ca="1" si="7"/>
        <v>0</v>
      </c>
      <c r="Y142" s="270"/>
      <c r="Z142" s="270"/>
      <c r="AB142" s="272" t="str">
        <f t="shared" si="8"/>
        <v/>
      </c>
    </row>
    <row r="143" spans="1:28" s="271" customFormat="1" ht="20.25">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6"/>
        <v/>
      </c>
      <c r="T143" s="224" t="str">
        <f ca="1">IF(B143="","",IF(ISERROR(MATCH($J143,SorP!$B$1:$B$6230,0)),"",INDIRECT("'SorP'!$A$"&amp;MATCH($J143,SorP!$B$1:$B$6230,0))))</f>
        <v/>
      </c>
      <c r="U143" s="239"/>
      <c r="V143" s="269" t="e">
        <f>IF(C143="",NA(),MATCH($B143&amp;$C143,'Smelter Look-up'!$J:$J,0))</f>
        <v>#N/A</v>
      </c>
      <c r="W143" s="270"/>
      <c r="X143" s="270">
        <f t="shared" ca="1" si="7"/>
        <v>0</v>
      </c>
      <c r="Y143" s="270"/>
      <c r="Z143" s="270"/>
      <c r="AB143" s="272" t="str">
        <f t="shared" si="8"/>
        <v/>
      </c>
    </row>
    <row r="144" spans="1:28" s="271" customFormat="1" ht="20.25">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6"/>
        <v/>
      </c>
      <c r="T144" s="224" t="str">
        <f ca="1">IF(B144="","",IF(ISERROR(MATCH($J144,SorP!$B$1:$B$6230,0)),"",INDIRECT("'SorP'!$A$"&amp;MATCH($J144,SorP!$B$1:$B$6230,0))))</f>
        <v/>
      </c>
      <c r="U144" s="239"/>
      <c r="V144" s="269" t="e">
        <f>IF(C144="",NA(),MATCH($B144&amp;$C144,'Smelter Look-up'!$J:$J,0))</f>
        <v>#N/A</v>
      </c>
      <c r="W144" s="270"/>
      <c r="X144" s="270">
        <f t="shared" ca="1" si="7"/>
        <v>0</v>
      </c>
      <c r="Y144" s="270"/>
      <c r="Z144" s="270"/>
      <c r="AB144" s="272" t="str">
        <f t="shared" si="8"/>
        <v/>
      </c>
    </row>
    <row r="145" spans="1:28" s="271" customFormat="1" ht="20.25">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6"/>
        <v/>
      </c>
      <c r="T145" s="224" t="str">
        <f ca="1">IF(B145="","",IF(ISERROR(MATCH($J145,SorP!$B$1:$B$6230,0)),"",INDIRECT("'SorP'!$A$"&amp;MATCH($J145,SorP!$B$1:$B$6230,0))))</f>
        <v/>
      </c>
      <c r="U145" s="239"/>
      <c r="V145" s="269" t="e">
        <f>IF(C145="",NA(),MATCH($B145&amp;$C145,'Smelter Look-up'!$J:$J,0))</f>
        <v>#N/A</v>
      </c>
      <c r="W145" s="270"/>
      <c r="X145" s="270">
        <f t="shared" ca="1" si="7"/>
        <v>0</v>
      </c>
      <c r="Y145" s="270"/>
      <c r="Z145" s="270"/>
      <c r="AB145" s="272" t="str">
        <f t="shared" si="8"/>
        <v/>
      </c>
    </row>
    <row r="146" spans="1:28" s="271" customFormat="1" ht="20.25">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6"/>
        <v/>
      </c>
      <c r="T146" s="224" t="str">
        <f ca="1">IF(B146="","",IF(ISERROR(MATCH($J146,SorP!$B$1:$B$6230,0)),"",INDIRECT("'SorP'!$A$"&amp;MATCH($J146,SorP!$B$1:$B$6230,0))))</f>
        <v/>
      </c>
      <c r="U146" s="239"/>
      <c r="V146" s="269" t="e">
        <f>IF(C146="",NA(),MATCH($B146&amp;$C146,'Smelter Look-up'!$J:$J,0))</f>
        <v>#N/A</v>
      </c>
      <c r="W146" s="270"/>
      <c r="X146" s="270">
        <f t="shared" ca="1" si="7"/>
        <v>0</v>
      </c>
      <c r="Y146" s="270"/>
      <c r="Z146" s="270"/>
      <c r="AB146" s="272" t="str">
        <f t="shared" si="8"/>
        <v/>
      </c>
    </row>
    <row r="147" spans="1:28" s="271" customFormat="1" ht="20.25">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6"/>
        <v/>
      </c>
      <c r="T147" s="224" t="str">
        <f ca="1">IF(B147="","",IF(ISERROR(MATCH($J147,SorP!$B$1:$B$6230,0)),"",INDIRECT("'SorP'!$A$"&amp;MATCH($J147,SorP!$B$1:$B$6230,0))))</f>
        <v/>
      </c>
      <c r="U147" s="239"/>
      <c r="V147" s="269" t="e">
        <f>IF(C147="",NA(),MATCH($B147&amp;$C147,'Smelter Look-up'!$J:$J,0))</f>
        <v>#N/A</v>
      </c>
      <c r="W147" s="270"/>
      <c r="X147" s="270">
        <f t="shared" ca="1" si="7"/>
        <v>0</v>
      </c>
      <c r="Y147" s="270"/>
      <c r="Z147" s="270"/>
      <c r="AB147" s="272" t="str">
        <f t="shared" si="8"/>
        <v/>
      </c>
    </row>
    <row r="148" spans="1:28" s="271" customFormat="1" ht="20.25">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6"/>
        <v/>
      </c>
      <c r="T148" s="224" t="str">
        <f ca="1">IF(B148="","",IF(ISERROR(MATCH($J148,SorP!$B$1:$B$6230,0)),"",INDIRECT("'SorP'!$A$"&amp;MATCH($J148,SorP!$B$1:$B$6230,0))))</f>
        <v/>
      </c>
      <c r="U148" s="239"/>
      <c r="V148" s="269" t="e">
        <f>IF(C148="",NA(),MATCH($B148&amp;$C148,'Smelter Look-up'!$J:$J,0))</f>
        <v>#N/A</v>
      </c>
      <c r="W148" s="270"/>
      <c r="X148" s="270">
        <f t="shared" ca="1" si="7"/>
        <v>0</v>
      </c>
      <c r="Y148" s="270"/>
      <c r="Z148" s="270"/>
      <c r="AB148" s="272" t="str">
        <f t="shared" si="8"/>
        <v/>
      </c>
    </row>
    <row r="149" spans="1:28" s="271" customFormat="1" ht="20.25">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6"/>
        <v/>
      </c>
      <c r="T149" s="224" t="str">
        <f ca="1">IF(B149="","",IF(ISERROR(MATCH($J149,SorP!$B$1:$B$6230,0)),"",INDIRECT("'SorP'!$A$"&amp;MATCH($J149,SorP!$B$1:$B$6230,0))))</f>
        <v/>
      </c>
      <c r="U149" s="239"/>
      <c r="V149" s="269" t="e">
        <f>IF(C149="",NA(),MATCH($B149&amp;$C149,'Smelter Look-up'!$J:$J,0))</f>
        <v>#N/A</v>
      </c>
      <c r="W149" s="270"/>
      <c r="X149" s="270">
        <f t="shared" ca="1" si="7"/>
        <v>0</v>
      </c>
      <c r="Y149" s="270"/>
      <c r="Z149" s="270"/>
      <c r="AB149" s="272" t="str">
        <f t="shared" si="8"/>
        <v/>
      </c>
    </row>
    <row r="150" spans="1:28" s="271" customFormat="1" ht="20.25">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6"/>
        <v/>
      </c>
      <c r="T150" s="224" t="str">
        <f ca="1">IF(B150="","",IF(ISERROR(MATCH($J150,SorP!$B$1:$B$6230,0)),"",INDIRECT("'SorP'!$A$"&amp;MATCH($J150,SorP!$B$1:$B$6230,0))))</f>
        <v/>
      </c>
      <c r="U150" s="239"/>
      <c r="V150" s="269" t="e">
        <f>IF(C150="",NA(),MATCH($B150&amp;$C150,'Smelter Look-up'!$J:$J,0))</f>
        <v>#N/A</v>
      </c>
      <c r="W150" s="270"/>
      <c r="X150" s="270">
        <f t="shared" ca="1" si="7"/>
        <v>0</v>
      </c>
      <c r="Y150" s="270"/>
      <c r="Z150" s="270"/>
      <c r="AB150" s="272" t="str">
        <f t="shared" si="8"/>
        <v/>
      </c>
    </row>
    <row r="151" spans="1:28" s="271" customFormat="1" ht="20.25">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6"/>
        <v/>
      </c>
      <c r="T151" s="224" t="str">
        <f ca="1">IF(B151="","",IF(ISERROR(MATCH($J151,SorP!$B$1:$B$6230,0)),"",INDIRECT("'SorP'!$A$"&amp;MATCH($J151,SorP!$B$1:$B$6230,0))))</f>
        <v/>
      </c>
      <c r="U151" s="239"/>
      <c r="V151" s="269" t="e">
        <f>IF(C151="",NA(),MATCH($B151&amp;$C151,'Smelter Look-up'!$J:$J,0))</f>
        <v>#N/A</v>
      </c>
      <c r="W151" s="270"/>
      <c r="X151" s="270">
        <f t="shared" ca="1" si="7"/>
        <v>0</v>
      </c>
      <c r="Y151" s="270"/>
      <c r="Z151" s="270"/>
      <c r="AB151" s="272" t="str">
        <f t="shared" si="8"/>
        <v/>
      </c>
    </row>
    <row r="152" spans="1:28" s="271" customFormat="1" ht="20.25">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6"/>
        <v/>
      </c>
      <c r="T152" s="224" t="str">
        <f ca="1">IF(B152="","",IF(ISERROR(MATCH($J152,SorP!$B$1:$B$6230,0)),"",INDIRECT("'SorP'!$A$"&amp;MATCH($J152,SorP!$B$1:$B$6230,0))))</f>
        <v/>
      </c>
      <c r="U152" s="239"/>
      <c r="V152" s="269" t="e">
        <f>IF(C152="",NA(),MATCH($B152&amp;$C152,'Smelter Look-up'!$J:$J,0))</f>
        <v>#N/A</v>
      </c>
      <c r="W152" s="270"/>
      <c r="X152" s="270">
        <f t="shared" ca="1" si="7"/>
        <v>0</v>
      </c>
      <c r="Y152" s="270"/>
      <c r="Z152" s="270"/>
      <c r="AB152" s="272" t="str">
        <f t="shared" si="8"/>
        <v/>
      </c>
    </row>
    <row r="153" spans="1:28" s="271" customFormat="1" ht="20.25">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6"/>
        <v/>
      </c>
      <c r="T153" s="224" t="str">
        <f ca="1">IF(B153="","",IF(ISERROR(MATCH($J153,SorP!$B$1:$B$6230,0)),"",INDIRECT("'SorP'!$A$"&amp;MATCH($J153,SorP!$B$1:$B$6230,0))))</f>
        <v/>
      </c>
      <c r="U153" s="239"/>
      <c r="V153" s="269" t="e">
        <f>IF(C153="",NA(),MATCH($B153&amp;$C153,'Smelter Look-up'!$J:$J,0))</f>
        <v>#N/A</v>
      </c>
      <c r="W153" s="270"/>
      <c r="X153" s="270">
        <f t="shared" ca="1" si="7"/>
        <v>0</v>
      </c>
      <c r="Y153" s="270"/>
      <c r="Z153" s="270"/>
      <c r="AB153" s="272" t="str">
        <f t="shared" si="8"/>
        <v/>
      </c>
    </row>
    <row r="154" spans="1:28" s="271" customFormat="1" ht="20.25">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6"/>
        <v/>
      </c>
      <c r="T154" s="224" t="str">
        <f ca="1">IF(B154="","",IF(ISERROR(MATCH($J154,SorP!$B$1:$B$6230,0)),"",INDIRECT("'SorP'!$A$"&amp;MATCH($J154,SorP!$B$1:$B$6230,0))))</f>
        <v/>
      </c>
      <c r="U154" s="239"/>
      <c r="V154" s="269" t="e">
        <f>IF(C154="",NA(),MATCH($B154&amp;$C154,'Smelter Look-up'!$J:$J,0))</f>
        <v>#N/A</v>
      </c>
      <c r="W154" s="270"/>
      <c r="X154" s="270">
        <f t="shared" ca="1" si="7"/>
        <v>0</v>
      </c>
      <c r="Y154" s="270"/>
      <c r="Z154" s="270"/>
      <c r="AB154" s="272" t="str">
        <f t="shared" si="8"/>
        <v/>
      </c>
    </row>
    <row r="155" spans="1:28" s="271" customFormat="1" ht="20.25">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6"/>
        <v/>
      </c>
      <c r="T155" s="224" t="str">
        <f ca="1">IF(B155="","",IF(ISERROR(MATCH($J155,SorP!$B$1:$B$6230,0)),"",INDIRECT("'SorP'!$A$"&amp;MATCH($J155,SorP!$B$1:$B$6230,0))))</f>
        <v/>
      </c>
      <c r="U155" s="239"/>
      <c r="V155" s="269" t="e">
        <f>IF(C155="",NA(),MATCH($B155&amp;$C155,'Smelter Look-up'!$J:$J,0))</f>
        <v>#N/A</v>
      </c>
      <c r="W155" s="270"/>
      <c r="X155" s="270">
        <f t="shared" ca="1" si="7"/>
        <v>0</v>
      </c>
      <c r="Y155" s="270"/>
      <c r="Z155" s="270"/>
      <c r="AB155" s="272" t="str">
        <f t="shared" si="8"/>
        <v/>
      </c>
    </row>
    <row r="156" spans="1:28" s="271" customFormat="1" ht="20.25">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6"/>
        <v/>
      </c>
      <c r="T156" s="224" t="str">
        <f ca="1">IF(B156="","",IF(ISERROR(MATCH($J156,SorP!$B$1:$B$6230,0)),"",INDIRECT("'SorP'!$A$"&amp;MATCH($J156,SorP!$B$1:$B$6230,0))))</f>
        <v/>
      </c>
      <c r="U156" s="239"/>
      <c r="V156" s="269" t="e">
        <f>IF(C156="",NA(),MATCH($B156&amp;$C156,'Smelter Look-up'!$J:$J,0))</f>
        <v>#N/A</v>
      </c>
      <c r="W156" s="270"/>
      <c r="X156" s="270">
        <f t="shared" ca="1" si="7"/>
        <v>0</v>
      </c>
      <c r="Y156" s="270"/>
      <c r="Z156" s="270"/>
      <c r="AB156" s="272" t="str">
        <f t="shared" si="8"/>
        <v/>
      </c>
    </row>
    <row r="157" spans="1:28" s="271" customFormat="1" ht="20.25">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6"/>
        <v/>
      </c>
      <c r="T157" s="224" t="str">
        <f ca="1">IF(B157="","",IF(ISERROR(MATCH($J157,SorP!$B$1:$B$6230,0)),"",INDIRECT("'SorP'!$A$"&amp;MATCH($J157,SorP!$B$1:$B$6230,0))))</f>
        <v/>
      </c>
      <c r="U157" s="239"/>
      <c r="V157" s="269" t="e">
        <f>IF(C157="",NA(),MATCH($B157&amp;$C157,'Smelter Look-up'!$J:$J,0))</f>
        <v>#N/A</v>
      </c>
      <c r="W157" s="270"/>
      <c r="X157" s="270">
        <f t="shared" ca="1" si="7"/>
        <v>0</v>
      </c>
      <c r="Y157" s="270"/>
      <c r="Z157" s="270"/>
      <c r="AB157" s="272" t="str">
        <f t="shared" si="8"/>
        <v/>
      </c>
    </row>
    <row r="158" spans="1:28" s="271" customFormat="1" ht="20.25">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6"/>
        <v/>
      </c>
      <c r="T158" s="224" t="str">
        <f ca="1">IF(B158="","",IF(ISERROR(MATCH($J158,SorP!$B$1:$B$6230,0)),"",INDIRECT("'SorP'!$A$"&amp;MATCH($J158,SorP!$B$1:$B$6230,0))))</f>
        <v/>
      </c>
      <c r="U158" s="239"/>
      <c r="V158" s="269" t="e">
        <f>IF(C158="",NA(),MATCH($B158&amp;$C158,'Smelter Look-up'!$J:$J,0))</f>
        <v>#N/A</v>
      </c>
      <c r="W158" s="270"/>
      <c r="X158" s="270">
        <f t="shared" ca="1" si="7"/>
        <v>0</v>
      </c>
      <c r="Y158" s="270"/>
      <c r="Z158" s="270"/>
      <c r="AB158" s="272" t="str">
        <f t="shared" si="8"/>
        <v/>
      </c>
    </row>
    <row r="159" spans="1:28" s="271" customFormat="1" ht="20.25">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6"/>
        <v/>
      </c>
      <c r="T159" s="224" t="str">
        <f ca="1">IF(B159="","",IF(ISERROR(MATCH($J159,SorP!$B$1:$B$6230,0)),"",INDIRECT("'SorP'!$A$"&amp;MATCH($J159,SorP!$B$1:$B$6230,0))))</f>
        <v/>
      </c>
      <c r="U159" s="239"/>
      <c r="V159" s="269" t="e">
        <f>IF(C159="",NA(),MATCH($B159&amp;$C159,'Smelter Look-up'!$J:$J,0))</f>
        <v>#N/A</v>
      </c>
      <c r="W159" s="270"/>
      <c r="X159" s="270">
        <f t="shared" ca="1" si="7"/>
        <v>0</v>
      </c>
      <c r="Y159" s="270"/>
      <c r="Z159" s="270"/>
      <c r="AB159" s="272" t="str">
        <f t="shared" si="8"/>
        <v/>
      </c>
    </row>
    <row r="160" spans="1:28" s="271" customFormat="1" ht="20.25">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6"/>
        <v/>
      </c>
      <c r="T160" s="224" t="str">
        <f ca="1">IF(B160="","",IF(ISERROR(MATCH($J160,SorP!$B$1:$B$6230,0)),"",INDIRECT("'SorP'!$A$"&amp;MATCH($J160,SorP!$B$1:$B$6230,0))))</f>
        <v/>
      </c>
      <c r="U160" s="239"/>
      <c r="V160" s="269" t="e">
        <f>IF(C160="",NA(),MATCH($B160&amp;$C160,'Smelter Look-up'!$J:$J,0))</f>
        <v>#N/A</v>
      </c>
      <c r="W160" s="270"/>
      <c r="X160" s="270">
        <f t="shared" ca="1" si="7"/>
        <v>0</v>
      </c>
      <c r="Y160" s="270"/>
      <c r="Z160" s="270"/>
      <c r="AB160" s="272" t="str">
        <f t="shared" si="8"/>
        <v/>
      </c>
    </row>
    <row r="161" spans="1:28" s="271" customFormat="1" ht="20.25">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6"/>
        <v/>
      </c>
      <c r="T161" s="224" t="str">
        <f ca="1">IF(B161="","",IF(ISERROR(MATCH($J161,SorP!$B$1:$B$6230,0)),"",INDIRECT("'SorP'!$A$"&amp;MATCH($J161,SorP!$B$1:$B$6230,0))))</f>
        <v/>
      </c>
      <c r="U161" s="239"/>
      <c r="V161" s="269" t="e">
        <f>IF(C161="",NA(),MATCH($B161&amp;$C161,'Smelter Look-up'!$J:$J,0))</f>
        <v>#N/A</v>
      </c>
      <c r="W161" s="270"/>
      <c r="X161" s="270">
        <f t="shared" ca="1" si="7"/>
        <v>0</v>
      </c>
      <c r="Y161" s="270"/>
      <c r="Z161" s="270"/>
      <c r="AB161" s="272" t="str">
        <f t="shared" si="8"/>
        <v/>
      </c>
    </row>
    <row r="162" spans="1:28" s="271" customFormat="1" ht="20.25">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6"/>
        <v/>
      </c>
      <c r="T162" s="224" t="str">
        <f ca="1">IF(B162="","",IF(ISERROR(MATCH($J162,SorP!$B$1:$B$6230,0)),"",INDIRECT("'SorP'!$A$"&amp;MATCH($J162,SorP!$B$1:$B$6230,0))))</f>
        <v/>
      </c>
      <c r="U162" s="239"/>
      <c r="V162" s="269" t="e">
        <f>IF(C162="",NA(),MATCH($B162&amp;$C162,'Smelter Look-up'!$J:$J,0))</f>
        <v>#N/A</v>
      </c>
      <c r="W162" s="270"/>
      <c r="X162" s="270">
        <f t="shared" ca="1" si="7"/>
        <v>0</v>
      </c>
      <c r="Y162" s="270"/>
      <c r="Z162" s="270"/>
      <c r="AB162" s="272" t="str">
        <f t="shared" si="8"/>
        <v/>
      </c>
    </row>
    <row r="163" spans="1:28" s="271" customFormat="1" ht="20.25">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6"/>
        <v/>
      </c>
      <c r="T163" s="224" t="str">
        <f ca="1">IF(B163="","",IF(ISERROR(MATCH($J163,SorP!$B$1:$B$6230,0)),"",INDIRECT("'SorP'!$A$"&amp;MATCH($J163,SorP!$B$1:$B$6230,0))))</f>
        <v/>
      </c>
      <c r="U163" s="239"/>
      <c r="V163" s="269" t="e">
        <f>IF(C163="",NA(),MATCH($B163&amp;$C163,'Smelter Look-up'!$J:$J,0))</f>
        <v>#N/A</v>
      </c>
      <c r="W163" s="270"/>
      <c r="X163" s="270">
        <f t="shared" ca="1" si="7"/>
        <v>0</v>
      </c>
      <c r="Y163" s="270"/>
      <c r="Z163" s="270"/>
      <c r="AB163" s="272" t="str">
        <f t="shared" si="8"/>
        <v/>
      </c>
    </row>
    <row r="164" spans="1:28" s="271" customFormat="1" ht="20.25">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6"/>
        <v/>
      </c>
      <c r="T164" s="224" t="str">
        <f ca="1">IF(B164="","",IF(ISERROR(MATCH($J164,SorP!$B$1:$B$6230,0)),"",INDIRECT("'SorP'!$A$"&amp;MATCH($J164,SorP!$B$1:$B$6230,0))))</f>
        <v/>
      </c>
      <c r="U164" s="239"/>
      <c r="V164" s="269" t="e">
        <f>IF(C164="",NA(),MATCH($B164&amp;$C164,'Smelter Look-up'!$J:$J,0))</f>
        <v>#N/A</v>
      </c>
      <c r="W164" s="270"/>
      <c r="X164" s="270">
        <f t="shared" ca="1" si="7"/>
        <v>0</v>
      </c>
      <c r="Y164" s="270"/>
      <c r="Z164" s="270"/>
      <c r="AB164" s="272" t="str">
        <f t="shared" si="8"/>
        <v/>
      </c>
    </row>
    <row r="165" spans="1:28" s="271" customFormat="1" ht="20.25">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6"/>
        <v/>
      </c>
      <c r="T165" s="224" t="str">
        <f ca="1">IF(B165="","",IF(ISERROR(MATCH($J165,SorP!$B$1:$B$6230,0)),"",INDIRECT("'SorP'!$A$"&amp;MATCH($J165,SorP!$B$1:$B$6230,0))))</f>
        <v/>
      </c>
      <c r="U165" s="239"/>
      <c r="V165" s="269" t="e">
        <f>IF(C165="",NA(),MATCH($B165&amp;$C165,'Smelter Look-up'!$J:$J,0))</f>
        <v>#N/A</v>
      </c>
      <c r="W165" s="270"/>
      <c r="X165" s="270">
        <f t="shared" ca="1" si="7"/>
        <v>0</v>
      </c>
      <c r="Y165" s="270"/>
      <c r="Z165" s="270"/>
      <c r="AB165" s="272" t="str">
        <f t="shared" si="8"/>
        <v/>
      </c>
    </row>
    <row r="166" spans="1:28" s="271" customFormat="1" ht="20.25">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6"/>
        <v/>
      </c>
      <c r="T166" s="224" t="str">
        <f ca="1">IF(B166="","",IF(ISERROR(MATCH($J166,SorP!$B$1:$B$6230,0)),"",INDIRECT("'SorP'!$A$"&amp;MATCH($J166,SorP!$B$1:$B$6230,0))))</f>
        <v/>
      </c>
      <c r="U166" s="239"/>
      <c r="V166" s="269" t="e">
        <f>IF(C166="",NA(),MATCH($B166&amp;$C166,'Smelter Look-up'!$J:$J,0))</f>
        <v>#N/A</v>
      </c>
      <c r="W166" s="270"/>
      <c r="X166" s="270">
        <f t="shared" ca="1" si="7"/>
        <v>0</v>
      </c>
      <c r="Y166" s="270"/>
      <c r="Z166" s="270"/>
      <c r="AB166" s="272" t="str">
        <f t="shared" si="8"/>
        <v/>
      </c>
    </row>
    <row r="167" spans="1:28" s="271" customFormat="1" ht="20.25">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6"/>
        <v/>
      </c>
      <c r="T167" s="224" t="str">
        <f ca="1">IF(B167="","",IF(ISERROR(MATCH($J167,SorP!$B$1:$B$6230,0)),"",INDIRECT("'SorP'!$A$"&amp;MATCH($J167,SorP!$B$1:$B$6230,0))))</f>
        <v/>
      </c>
      <c r="U167" s="239"/>
      <c r="V167" s="269" t="e">
        <f>IF(C167="",NA(),MATCH($B167&amp;$C167,'Smelter Look-up'!$J:$J,0))</f>
        <v>#N/A</v>
      </c>
      <c r="W167" s="270"/>
      <c r="X167" s="270">
        <f t="shared" ca="1" si="7"/>
        <v>0</v>
      </c>
      <c r="Y167" s="270"/>
      <c r="Z167" s="270"/>
      <c r="AB167" s="272" t="str">
        <f t="shared" si="8"/>
        <v/>
      </c>
    </row>
    <row r="168" spans="1:28" s="271" customFormat="1" ht="20.25">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6"/>
        <v/>
      </c>
      <c r="T168" s="224" t="str">
        <f ca="1">IF(B168="","",IF(ISERROR(MATCH($J168,SorP!$B$1:$B$6230,0)),"",INDIRECT("'SorP'!$A$"&amp;MATCH($J168,SorP!$B$1:$B$6230,0))))</f>
        <v/>
      </c>
      <c r="U168" s="239"/>
      <c r="V168" s="269" t="e">
        <f>IF(C168="",NA(),MATCH($B168&amp;$C168,'Smelter Look-up'!$J:$J,0))</f>
        <v>#N/A</v>
      </c>
      <c r="W168" s="270"/>
      <c r="X168" s="270">
        <f t="shared" ca="1" si="7"/>
        <v>0</v>
      </c>
      <c r="Y168" s="270"/>
      <c r="Z168" s="270"/>
      <c r="AB168" s="272" t="str">
        <f t="shared" si="8"/>
        <v/>
      </c>
    </row>
    <row r="169" spans="1:28" s="271" customFormat="1" ht="20.25">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6"/>
        <v/>
      </c>
      <c r="T169" s="224" t="str">
        <f ca="1">IF(B169="","",IF(ISERROR(MATCH($J169,SorP!$B$1:$B$6230,0)),"",INDIRECT("'SorP'!$A$"&amp;MATCH($J169,SorP!$B$1:$B$6230,0))))</f>
        <v/>
      </c>
      <c r="U169" s="239"/>
      <c r="V169" s="269" t="e">
        <f>IF(C169="",NA(),MATCH($B169&amp;$C169,'Smelter Look-up'!$J:$J,0))</f>
        <v>#N/A</v>
      </c>
      <c r="W169" s="270"/>
      <c r="X169" s="270">
        <f t="shared" ca="1" si="7"/>
        <v>0</v>
      </c>
      <c r="Y169" s="270"/>
      <c r="Z169" s="270"/>
      <c r="AB169" s="272" t="str">
        <f t="shared" si="8"/>
        <v/>
      </c>
    </row>
    <row r="170" spans="1:28" s="271" customFormat="1" ht="20.25">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6"/>
        <v/>
      </c>
      <c r="T170" s="224" t="str">
        <f ca="1">IF(B170="","",IF(ISERROR(MATCH($J170,SorP!$B$1:$B$6230,0)),"",INDIRECT("'SorP'!$A$"&amp;MATCH($J170,SorP!$B$1:$B$6230,0))))</f>
        <v/>
      </c>
      <c r="U170" s="239"/>
      <c r="V170" s="269" t="e">
        <f>IF(C170="",NA(),MATCH($B170&amp;$C170,'Smelter Look-up'!$J:$J,0))</f>
        <v>#N/A</v>
      </c>
      <c r="W170" s="270"/>
      <c r="X170" s="270">
        <f t="shared" ca="1" si="7"/>
        <v>0</v>
      </c>
      <c r="Y170" s="270"/>
      <c r="Z170" s="270"/>
      <c r="AB170" s="272" t="str">
        <f t="shared" si="8"/>
        <v/>
      </c>
    </row>
    <row r="171" spans="1:28" s="271" customFormat="1" ht="20.25">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6"/>
        <v/>
      </c>
      <c r="T171" s="224" t="str">
        <f ca="1">IF(B171="","",IF(ISERROR(MATCH($J171,SorP!$B$1:$B$6230,0)),"",INDIRECT("'SorP'!$A$"&amp;MATCH($J171,SorP!$B$1:$B$6230,0))))</f>
        <v/>
      </c>
      <c r="U171" s="239"/>
      <c r="V171" s="269" t="e">
        <f>IF(C171="",NA(),MATCH($B171&amp;$C171,'Smelter Look-up'!$J:$J,0))</f>
        <v>#N/A</v>
      </c>
      <c r="W171" s="270"/>
      <c r="X171" s="270">
        <f t="shared" ca="1" si="7"/>
        <v>0</v>
      </c>
      <c r="Y171" s="270"/>
      <c r="Z171" s="270"/>
      <c r="AB171" s="272" t="str">
        <f t="shared" si="8"/>
        <v/>
      </c>
    </row>
    <row r="172" spans="1:28" s="271" customFormat="1" ht="20.25">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6"/>
        <v/>
      </c>
      <c r="T172" s="224" t="str">
        <f ca="1">IF(B172="","",IF(ISERROR(MATCH($J172,SorP!$B$1:$B$6230,0)),"",INDIRECT("'SorP'!$A$"&amp;MATCH($J172,SorP!$B$1:$B$6230,0))))</f>
        <v/>
      </c>
      <c r="U172" s="239"/>
      <c r="V172" s="269" t="e">
        <f>IF(C172="",NA(),MATCH($B172&amp;$C172,'Smelter Look-up'!$J:$J,0))</f>
        <v>#N/A</v>
      </c>
      <c r="W172" s="270"/>
      <c r="X172" s="270">
        <f t="shared" ca="1" si="7"/>
        <v>0</v>
      </c>
      <c r="Y172" s="270"/>
      <c r="Z172" s="270"/>
      <c r="AB172" s="272" t="str">
        <f t="shared" si="8"/>
        <v/>
      </c>
    </row>
    <row r="173" spans="1:28" s="271" customFormat="1" ht="20.25">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6"/>
        <v/>
      </c>
      <c r="T173" s="224" t="str">
        <f ca="1">IF(B173="","",IF(ISERROR(MATCH($J173,SorP!$B$1:$B$6230,0)),"",INDIRECT("'SorP'!$A$"&amp;MATCH($J173,SorP!$B$1:$B$6230,0))))</f>
        <v/>
      </c>
      <c r="U173" s="239"/>
      <c r="V173" s="269" t="e">
        <f>IF(C173="",NA(),MATCH($B173&amp;$C173,'Smelter Look-up'!$J:$J,0))</f>
        <v>#N/A</v>
      </c>
      <c r="W173" s="270"/>
      <c r="X173" s="270">
        <f t="shared" ca="1" si="7"/>
        <v>0</v>
      </c>
      <c r="Y173" s="270"/>
      <c r="Z173" s="270"/>
      <c r="AB173" s="272" t="str">
        <f t="shared" si="8"/>
        <v/>
      </c>
    </row>
    <row r="174" spans="1:28" s="271" customFormat="1" ht="20.25">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6"/>
        <v/>
      </c>
      <c r="T174" s="224" t="str">
        <f ca="1">IF(B174="","",IF(ISERROR(MATCH($J174,SorP!$B$1:$B$6230,0)),"",INDIRECT("'SorP'!$A$"&amp;MATCH($J174,SorP!$B$1:$B$6230,0))))</f>
        <v/>
      </c>
      <c r="U174" s="239"/>
      <c r="V174" s="269" t="e">
        <f>IF(C174="",NA(),MATCH($B174&amp;$C174,'Smelter Look-up'!$J:$J,0))</f>
        <v>#N/A</v>
      </c>
      <c r="W174" s="270"/>
      <c r="X174" s="270">
        <f t="shared" ca="1" si="7"/>
        <v>0</v>
      </c>
      <c r="Y174" s="270"/>
      <c r="Z174" s="270"/>
      <c r="AB174" s="272" t="str">
        <f t="shared" si="8"/>
        <v/>
      </c>
    </row>
    <row r="175" spans="1:28" s="271" customFormat="1" ht="20.25">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6"/>
        <v/>
      </c>
      <c r="T175" s="224" t="str">
        <f ca="1">IF(B175="","",IF(ISERROR(MATCH($J175,SorP!$B$1:$B$6230,0)),"",INDIRECT("'SorP'!$A$"&amp;MATCH($J175,SorP!$B$1:$B$6230,0))))</f>
        <v/>
      </c>
      <c r="U175" s="239"/>
      <c r="V175" s="269" t="e">
        <f>IF(C175="",NA(),MATCH($B175&amp;$C175,'Smelter Look-up'!$J:$J,0))</f>
        <v>#N/A</v>
      </c>
      <c r="W175" s="270"/>
      <c r="X175" s="270">
        <f t="shared" ca="1" si="7"/>
        <v>0</v>
      </c>
      <c r="Y175" s="270"/>
      <c r="Z175" s="270"/>
      <c r="AB175" s="272" t="str">
        <f t="shared" si="8"/>
        <v/>
      </c>
    </row>
    <row r="176" spans="1:28" s="271" customFormat="1" ht="20.25">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6"/>
        <v/>
      </c>
      <c r="T176" s="224" t="str">
        <f ca="1">IF(B176="","",IF(ISERROR(MATCH($J176,SorP!$B$1:$B$6230,0)),"",INDIRECT("'SorP'!$A$"&amp;MATCH($J176,SorP!$B$1:$B$6230,0))))</f>
        <v/>
      </c>
      <c r="U176" s="239"/>
      <c r="V176" s="269" t="e">
        <f>IF(C176="",NA(),MATCH($B176&amp;$C176,'Smelter Look-up'!$J:$J,0))</f>
        <v>#N/A</v>
      </c>
      <c r="W176" s="270"/>
      <c r="X176" s="270">
        <f t="shared" ca="1" si="7"/>
        <v>0</v>
      </c>
      <c r="Y176" s="270"/>
      <c r="Z176" s="270"/>
      <c r="AB176" s="272" t="str">
        <f t="shared" si="8"/>
        <v/>
      </c>
    </row>
    <row r="177" spans="1:28" s="271" customFormat="1" ht="20.25">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6"/>
        <v/>
      </c>
      <c r="T177" s="224" t="str">
        <f ca="1">IF(B177="","",IF(ISERROR(MATCH($J177,SorP!$B$1:$B$6230,0)),"",INDIRECT("'SorP'!$A$"&amp;MATCH($J177,SorP!$B$1:$B$6230,0))))</f>
        <v/>
      </c>
      <c r="U177" s="239"/>
      <c r="V177" s="269" t="e">
        <f>IF(C177="",NA(),MATCH($B177&amp;$C177,'Smelter Look-up'!$J:$J,0))</f>
        <v>#N/A</v>
      </c>
      <c r="W177" s="270"/>
      <c r="X177" s="270">
        <f t="shared" ca="1" si="7"/>
        <v>0</v>
      </c>
      <c r="Y177" s="270"/>
      <c r="Z177" s="270"/>
      <c r="AB177" s="272" t="str">
        <f t="shared" si="8"/>
        <v/>
      </c>
    </row>
    <row r="178" spans="1:28" s="271" customFormat="1" ht="20.25">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6"/>
        <v/>
      </c>
      <c r="T178" s="224" t="str">
        <f ca="1">IF(B178="","",IF(ISERROR(MATCH($J178,SorP!$B$1:$B$6230,0)),"",INDIRECT("'SorP'!$A$"&amp;MATCH($J178,SorP!$B$1:$B$6230,0))))</f>
        <v/>
      </c>
      <c r="U178" s="239"/>
      <c r="V178" s="269" t="e">
        <f>IF(C178="",NA(),MATCH($B178&amp;$C178,'Smelter Look-up'!$J:$J,0))</f>
        <v>#N/A</v>
      </c>
      <c r="W178" s="270"/>
      <c r="X178" s="270">
        <f t="shared" ca="1" si="7"/>
        <v>0</v>
      </c>
      <c r="Y178" s="270"/>
      <c r="Z178" s="270"/>
      <c r="AB178" s="272" t="str">
        <f t="shared" si="8"/>
        <v/>
      </c>
    </row>
    <row r="179" spans="1:28" s="271" customFormat="1" ht="20.25">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6"/>
        <v/>
      </c>
      <c r="T179" s="224" t="str">
        <f ca="1">IF(B179="","",IF(ISERROR(MATCH($J179,SorP!$B$1:$B$6230,0)),"",INDIRECT("'SorP'!$A$"&amp;MATCH($J179,SorP!$B$1:$B$6230,0))))</f>
        <v/>
      </c>
      <c r="U179" s="239"/>
      <c r="V179" s="269" t="e">
        <f>IF(C179="",NA(),MATCH($B179&amp;$C179,'Smelter Look-up'!$J:$J,0))</f>
        <v>#N/A</v>
      </c>
      <c r="W179" s="270"/>
      <c r="X179" s="270">
        <f t="shared" ca="1" si="7"/>
        <v>0</v>
      </c>
      <c r="Y179" s="270"/>
      <c r="Z179" s="270"/>
      <c r="AB179" s="272" t="str">
        <f t="shared" si="8"/>
        <v/>
      </c>
    </row>
    <row r="180" spans="1:28" s="271" customFormat="1" ht="20.25">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6"/>
        <v/>
      </c>
      <c r="T180" s="224" t="str">
        <f ca="1">IF(B180="","",IF(ISERROR(MATCH($J180,SorP!$B$1:$B$6230,0)),"",INDIRECT("'SorP'!$A$"&amp;MATCH($J180,SorP!$B$1:$B$6230,0))))</f>
        <v/>
      </c>
      <c r="U180" s="239"/>
      <c r="V180" s="269" t="e">
        <f>IF(C180="",NA(),MATCH($B180&amp;$C180,'Smelter Look-up'!$J:$J,0))</f>
        <v>#N/A</v>
      </c>
      <c r="W180" s="270"/>
      <c r="X180" s="270">
        <f t="shared" ca="1" si="7"/>
        <v>0</v>
      </c>
      <c r="Y180" s="270"/>
      <c r="Z180" s="270"/>
      <c r="AB180" s="272" t="str">
        <f t="shared" si="8"/>
        <v/>
      </c>
    </row>
    <row r="181" spans="1:28" s="271" customFormat="1" ht="20.25">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6"/>
        <v/>
      </c>
      <c r="T181" s="224" t="str">
        <f ca="1">IF(B181="","",IF(ISERROR(MATCH($J181,SorP!$B$1:$B$6230,0)),"",INDIRECT("'SorP'!$A$"&amp;MATCH($J181,SorP!$B$1:$B$6230,0))))</f>
        <v/>
      </c>
      <c r="U181" s="239"/>
      <c r="V181" s="269" t="e">
        <f>IF(C181="",NA(),MATCH($B181&amp;$C181,'Smelter Look-up'!$J:$J,0))</f>
        <v>#N/A</v>
      </c>
      <c r="W181" s="270"/>
      <c r="X181" s="270">
        <f t="shared" ca="1" si="7"/>
        <v>0</v>
      </c>
      <c r="Y181" s="270"/>
      <c r="Z181" s="270"/>
      <c r="AB181" s="272" t="str">
        <f t="shared" si="8"/>
        <v/>
      </c>
    </row>
    <row r="182" spans="1:28" s="271" customFormat="1" ht="20.25">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6"/>
        <v/>
      </c>
      <c r="T182" s="224" t="str">
        <f ca="1">IF(B182="","",IF(ISERROR(MATCH($J182,SorP!$B$1:$B$6230,0)),"",INDIRECT("'SorP'!$A$"&amp;MATCH($J182,SorP!$B$1:$B$6230,0))))</f>
        <v/>
      </c>
      <c r="U182" s="239"/>
      <c r="V182" s="269" t="e">
        <f>IF(C182="",NA(),MATCH($B182&amp;$C182,'Smelter Look-up'!$J:$J,0))</f>
        <v>#N/A</v>
      </c>
      <c r="W182" s="270"/>
      <c r="X182" s="270">
        <f t="shared" ca="1" si="7"/>
        <v>0</v>
      </c>
      <c r="Y182" s="270"/>
      <c r="Z182" s="270"/>
      <c r="AB182" s="272" t="str">
        <f t="shared" si="8"/>
        <v/>
      </c>
    </row>
    <row r="183" spans="1:28" s="271" customFormat="1" ht="20.25">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6"/>
        <v/>
      </c>
      <c r="T183" s="224" t="str">
        <f ca="1">IF(B183="","",IF(ISERROR(MATCH($J183,SorP!$B$1:$B$6230,0)),"",INDIRECT("'SorP'!$A$"&amp;MATCH($J183,SorP!$B$1:$B$6230,0))))</f>
        <v/>
      </c>
      <c r="U183" s="239"/>
      <c r="V183" s="269" t="e">
        <f>IF(C183="",NA(),MATCH($B183&amp;$C183,'Smelter Look-up'!$J:$J,0))</f>
        <v>#N/A</v>
      </c>
      <c r="W183" s="270"/>
      <c r="X183" s="270">
        <f t="shared" ca="1" si="7"/>
        <v>0</v>
      </c>
      <c r="Y183" s="270"/>
      <c r="Z183" s="270"/>
      <c r="AB183" s="272" t="str">
        <f t="shared" si="8"/>
        <v/>
      </c>
    </row>
    <row r="184" spans="1:28" s="271" customFormat="1" ht="20.25">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6"/>
        <v/>
      </c>
      <c r="T184" s="224" t="str">
        <f ca="1">IF(B184="","",IF(ISERROR(MATCH($J184,SorP!$B$1:$B$6230,0)),"",INDIRECT("'SorP'!$A$"&amp;MATCH($J184,SorP!$B$1:$B$6230,0))))</f>
        <v/>
      </c>
      <c r="U184" s="239"/>
      <c r="V184" s="269" t="e">
        <f>IF(C184="",NA(),MATCH($B184&amp;$C184,'Smelter Look-up'!$J:$J,0))</f>
        <v>#N/A</v>
      </c>
      <c r="W184" s="270"/>
      <c r="X184" s="270">
        <f t="shared" ca="1" si="7"/>
        <v>0</v>
      </c>
      <c r="Y184" s="270"/>
      <c r="Z184" s="270"/>
      <c r="AB184" s="272" t="str">
        <f t="shared" si="8"/>
        <v/>
      </c>
    </row>
    <row r="185" spans="1:28" s="271" customFormat="1" ht="20.25">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6"/>
        <v/>
      </c>
      <c r="T185" s="224" t="str">
        <f ca="1">IF(B185="","",IF(ISERROR(MATCH($J185,SorP!$B$1:$B$6230,0)),"",INDIRECT("'SorP'!$A$"&amp;MATCH($J185,SorP!$B$1:$B$6230,0))))</f>
        <v/>
      </c>
      <c r="U185" s="239"/>
      <c r="V185" s="269" t="e">
        <f>IF(C185="",NA(),MATCH($B185&amp;$C185,'Smelter Look-up'!$J:$J,0))</f>
        <v>#N/A</v>
      </c>
      <c r="W185" s="270"/>
      <c r="X185" s="270">
        <f t="shared" ca="1" si="7"/>
        <v>0</v>
      </c>
      <c r="Y185" s="270"/>
      <c r="Z185" s="270"/>
      <c r="AB185" s="272" t="str">
        <f t="shared" si="8"/>
        <v/>
      </c>
    </row>
    <row r="186" spans="1:28" s="271" customFormat="1" ht="20.25">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6"/>
        <v/>
      </c>
      <c r="T186" s="224" t="str">
        <f ca="1">IF(B186="","",IF(ISERROR(MATCH($J186,SorP!$B$1:$B$6230,0)),"",INDIRECT("'SorP'!$A$"&amp;MATCH($J186,SorP!$B$1:$B$6230,0))))</f>
        <v/>
      </c>
      <c r="U186" s="239"/>
      <c r="V186" s="269" t="e">
        <f>IF(C186="",NA(),MATCH($B186&amp;$C186,'Smelter Look-up'!$J:$J,0))</f>
        <v>#N/A</v>
      </c>
      <c r="W186" s="270"/>
      <c r="X186" s="270">
        <f t="shared" ca="1" si="7"/>
        <v>0</v>
      </c>
      <c r="Y186" s="270"/>
      <c r="Z186" s="270"/>
      <c r="AB186" s="272" t="str">
        <f t="shared" si="8"/>
        <v/>
      </c>
    </row>
    <row r="187" spans="1:28" s="271" customFormat="1" ht="20.25">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6"/>
        <v/>
      </c>
      <c r="T187" s="224" t="str">
        <f ca="1">IF(B187="","",IF(ISERROR(MATCH($J187,SorP!$B$1:$B$6230,0)),"",INDIRECT("'SorP'!$A$"&amp;MATCH($J187,SorP!$B$1:$B$6230,0))))</f>
        <v/>
      </c>
      <c r="U187" s="239"/>
      <c r="V187" s="269" t="e">
        <f>IF(C187="",NA(),MATCH($B187&amp;$C187,'Smelter Look-up'!$J:$J,0))</f>
        <v>#N/A</v>
      </c>
      <c r="W187" s="270"/>
      <c r="X187" s="270">
        <f t="shared" ca="1" si="7"/>
        <v>0</v>
      </c>
      <c r="Y187" s="270"/>
      <c r="Z187" s="270"/>
      <c r="AB187" s="272" t="str">
        <f t="shared" si="8"/>
        <v/>
      </c>
    </row>
    <row r="188" spans="1:28" s="271" customFormat="1" ht="20.25">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6"/>
        <v/>
      </c>
      <c r="T188" s="224" t="str">
        <f ca="1">IF(B188="","",IF(ISERROR(MATCH($J188,SorP!$B$1:$B$6230,0)),"",INDIRECT("'SorP'!$A$"&amp;MATCH($J188,SorP!$B$1:$B$6230,0))))</f>
        <v/>
      </c>
      <c r="U188" s="239"/>
      <c r="V188" s="269" t="e">
        <f>IF(C188="",NA(),MATCH($B188&amp;$C188,'Smelter Look-up'!$J:$J,0))</f>
        <v>#N/A</v>
      </c>
      <c r="W188" s="270"/>
      <c r="X188" s="270">
        <f t="shared" ca="1" si="7"/>
        <v>0</v>
      </c>
      <c r="Y188" s="270"/>
      <c r="Z188" s="270"/>
      <c r="AB188" s="272" t="str">
        <f t="shared" si="8"/>
        <v/>
      </c>
    </row>
    <row r="189" spans="1:28" s="271" customFormat="1" ht="20.25">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6"/>
        <v/>
      </c>
      <c r="T189" s="224" t="str">
        <f ca="1">IF(B189="","",IF(ISERROR(MATCH($J189,SorP!$B$1:$B$6230,0)),"",INDIRECT("'SorP'!$A$"&amp;MATCH($J189,SorP!$B$1:$B$6230,0))))</f>
        <v/>
      </c>
      <c r="U189" s="239"/>
      <c r="V189" s="269" t="e">
        <f>IF(C189="",NA(),MATCH($B189&amp;$C189,'Smelter Look-up'!$J:$J,0))</f>
        <v>#N/A</v>
      </c>
      <c r="W189" s="270"/>
      <c r="X189" s="270">
        <f t="shared" ca="1" si="7"/>
        <v>0</v>
      </c>
      <c r="Y189" s="270"/>
      <c r="Z189" s="270"/>
      <c r="AB189" s="272" t="str">
        <f t="shared" si="8"/>
        <v/>
      </c>
    </row>
    <row r="190" spans="1:28" s="271" customFormat="1" ht="20.25">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6"/>
        <v/>
      </c>
      <c r="T190" s="224" t="str">
        <f ca="1">IF(B190="","",IF(ISERROR(MATCH($J190,SorP!$B$1:$B$6230,0)),"",INDIRECT("'SorP'!$A$"&amp;MATCH($J190,SorP!$B$1:$B$6230,0))))</f>
        <v/>
      </c>
      <c r="U190" s="239"/>
      <c r="V190" s="269" t="e">
        <f>IF(C190="",NA(),MATCH($B190&amp;$C190,'Smelter Look-up'!$J:$J,0))</f>
        <v>#N/A</v>
      </c>
      <c r="W190" s="270"/>
      <c r="X190" s="270">
        <f t="shared" ca="1" si="7"/>
        <v>0</v>
      </c>
      <c r="Y190" s="270"/>
      <c r="Z190" s="270"/>
      <c r="AB190" s="272" t="str">
        <f t="shared" si="8"/>
        <v/>
      </c>
    </row>
    <row r="191" spans="1:28" s="271" customFormat="1" ht="20.25">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6"/>
        <v/>
      </c>
      <c r="T191" s="224" t="str">
        <f ca="1">IF(B191="","",IF(ISERROR(MATCH($J191,SorP!$B$1:$B$6230,0)),"",INDIRECT("'SorP'!$A$"&amp;MATCH($J191,SorP!$B$1:$B$6230,0))))</f>
        <v/>
      </c>
      <c r="U191" s="239"/>
      <c r="V191" s="269" t="e">
        <f>IF(C191="",NA(),MATCH($B191&amp;$C191,'Smelter Look-up'!$J:$J,0))</f>
        <v>#N/A</v>
      </c>
      <c r="W191" s="270"/>
      <c r="X191" s="270">
        <f t="shared" ca="1" si="7"/>
        <v>0</v>
      </c>
      <c r="Y191" s="270"/>
      <c r="Z191" s="270"/>
      <c r="AB191" s="272" t="str">
        <f t="shared" si="8"/>
        <v/>
      </c>
    </row>
    <row r="192" spans="1:28" s="271" customFormat="1" ht="20.25">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6"/>
        <v/>
      </c>
      <c r="T192" s="224" t="str">
        <f ca="1">IF(B192="","",IF(ISERROR(MATCH($J192,SorP!$B$1:$B$6230,0)),"",INDIRECT("'SorP'!$A$"&amp;MATCH($J192,SorP!$B$1:$B$6230,0))))</f>
        <v/>
      </c>
      <c r="U192" s="239"/>
      <c r="V192" s="269" t="e">
        <f>IF(C192="",NA(),MATCH($B192&amp;$C192,'Smelter Look-up'!$J:$J,0))</f>
        <v>#N/A</v>
      </c>
      <c r="W192" s="270"/>
      <c r="X192" s="270">
        <f t="shared" ca="1" si="7"/>
        <v>0</v>
      </c>
      <c r="Y192" s="270"/>
      <c r="Z192" s="270"/>
      <c r="AB192" s="272" t="str">
        <f t="shared" si="8"/>
        <v/>
      </c>
    </row>
    <row r="193" spans="1:28" s="271" customFormat="1" ht="20.25">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6"/>
        <v/>
      </c>
      <c r="T193" s="224" t="str">
        <f ca="1">IF(B193="","",IF(ISERROR(MATCH($J193,SorP!$B$1:$B$6230,0)),"",INDIRECT("'SorP'!$A$"&amp;MATCH($J193,SorP!$B$1:$B$6230,0))))</f>
        <v/>
      </c>
      <c r="U193" s="239"/>
      <c r="V193" s="269" t="e">
        <f>IF(C193="",NA(),MATCH($B193&amp;$C193,'Smelter Look-up'!$J:$J,0))</f>
        <v>#N/A</v>
      </c>
      <c r="W193" s="270"/>
      <c r="X193" s="270">
        <f t="shared" ca="1" si="7"/>
        <v>0</v>
      </c>
      <c r="Y193" s="270"/>
      <c r="Z193" s="270"/>
      <c r="AB193" s="272" t="str">
        <f t="shared" si="8"/>
        <v/>
      </c>
    </row>
    <row r="194" spans="1:28" s="271" customFormat="1" ht="20.25">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6"/>
        <v/>
      </c>
      <c r="T194" s="224" t="str">
        <f ca="1">IF(B194="","",IF(ISERROR(MATCH($J194,SorP!$B$1:$B$6230,0)),"",INDIRECT("'SorP'!$A$"&amp;MATCH($J194,SorP!$B$1:$B$6230,0))))</f>
        <v/>
      </c>
      <c r="U194" s="239"/>
      <c r="V194" s="269" t="e">
        <f>IF(C194="",NA(),MATCH($B194&amp;$C194,'Smelter Look-up'!$J:$J,0))</f>
        <v>#N/A</v>
      </c>
      <c r="W194" s="270"/>
      <c r="X194" s="270">
        <f t="shared" ca="1" si="7"/>
        <v>0</v>
      </c>
      <c r="Y194" s="270"/>
      <c r="Z194" s="270"/>
      <c r="AB194" s="272" t="str">
        <f t="shared" si="8"/>
        <v/>
      </c>
    </row>
    <row r="195" spans="1:28" s="271" customFormat="1" ht="20.25">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6"/>
        <v/>
      </c>
      <c r="T195" s="224" t="str">
        <f ca="1">IF(B195="","",IF(ISERROR(MATCH($J195,SorP!$B$1:$B$6230,0)),"",INDIRECT("'SorP'!$A$"&amp;MATCH($J195,SorP!$B$1:$B$6230,0))))</f>
        <v/>
      </c>
      <c r="U195" s="239"/>
      <c r="V195" s="269" t="e">
        <f>IF(C195="",NA(),MATCH($B195&amp;$C195,'Smelter Look-up'!$J:$J,0))</f>
        <v>#N/A</v>
      </c>
      <c r="W195" s="270"/>
      <c r="X195" s="270">
        <f t="shared" ca="1" si="7"/>
        <v>0</v>
      </c>
      <c r="Y195" s="270"/>
      <c r="Z195" s="270"/>
      <c r="AB195" s="272" t="str">
        <f t="shared" si="8"/>
        <v/>
      </c>
    </row>
    <row r="196" spans="1:28" s="271" customFormat="1" ht="20.25">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6"/>
        <v/>
      </c>
      <c r="T196" s="224" t="str">
        <f ca="1">IF(B196="","",IF(ISERROR(MATCH($J196,SorP!$B$1:$B$6230,0)),"",INDIRECT("'SorP'!$A$"&amp;MATCH($J196,SorP!$B$1:$B$6230,0))))</f>
        <v/>
      </c>
      <c r="U196" s="239"/>
      <c r="V196" s="269" t="e">
        <f>IF(C196="",NA(),MATCH($B196&amp;$C196,'Smelter Look-up'!$J:$J,0))</f>
        <v>#N/A</v>
      </c>
      <c r="W196" s="270"/>
      <c r="X196" s="270">
        <f t="shared" ca="1" si="7"/>
        <v>0</v>
      </c>
      <c r="Y196" s="270"/>
      <c r="Z196" s="270"/>
      <c r="AB196" s="272" t="str">
        <f t="shared" si="8"/>
        <v/>
      </c>
    </row>
    <row r="197" spans="1:28" s="271" customFormat="1" ht="20.25">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9">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0">IF(AND(C197="Smelter not listed",OR(LEN(D197)=0,LEN(E197)=0)),1,0)</f>
        <v>0</v>
      </c>
      <c r="Y197" s="270"/>
      <c r="Z197" s="270"/>
      <c r="AB197" s="272" t="str">
        <f t="shared" ref="AB197:AB260" si="11">B197&amp;C197</f>
        <v/>
      </c>
    </row>
    <row r="198" spans="1:28" s="271" customFormat="1" ht="20.25">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9"/>
        <v/>
      </c>
      <c r="T198" s="224" t="str">
        <f ca="1">IF(B198="","",IF(ISERROR(MATCH($J198,SorP!$B$1:$B$6230,0)),"",INDIRECT("'SorP'!$A$"&amp;MATCH($J198,SorP!$B$1:$B$6230,0))))</f>
        <v/>
      </c>
      <c r="U198" s="239"/>
      <c r="V198" s="269" t="e">
        <f>IF(C198="",NA(),MATCH($B198&amp;$C198,'Smelter Look-up'!$J:$J,0))</f>
        <v>#N/A</v>
      </c>
      <c r="W198" s="270"/>
      <c r="X198" s="270">
        <f t="shared" ca="1" si="10"/>
        <v>0</v>
      </c>
      <c r="Y198" s="270"/>
      <c r="Z198" s="270"/>
      <c r="AB198" s="272" t="str">
        <f t="shared" si="11"/>
        <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9"/>
        <v/>
      </c>
      <c r="T199" s="224" t="str">
        <f ca="1">IF(B199="","",IF(ISERROR(MATCH($J199,SorP!$B$1:$B$6230,0)),"",INDIRECT("'SorP'!$A$"&amp;MATCH($J199,SorP!$B$1:$B$6230,0))))</f>
        <v/>
      </c>
      <c r="U199" s="239"/>
      <c r="V199" s="269" t="e">
        <f>IF(C199="",NA(),MATCH($B199&amp;$C199,'Smelter Look-up'!$J:$J,0))</f>
        <v>#N/A</v>
      </c>
      <c r="W199" s="270"/>
      <c r="X199" s="270">
        <f t="shared" ca="1" si="10"/>
        <v>0</v>
      </c>
      <c r="Y199" s="270"/>
      <c r="Z199" s="270"/>
      <c r="AB199" s="272" t="str">
        <f t="shared" si="11"/>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9"/>
        <v/>
      </c>
      <c r="T200" s="224" t="str">
        <f ca="1">IF(B200="","",IF(ISERROR(MATCH($J200,SorP!$B$1:$B$6230,0)),"",INDIRECT("'SorP'!$A$"&amp;MATCH($J200,SorP!$B$1:$B$6230,0))))</f>
        <v/>
      </c>
      <c r="U200" s="239"/>
      <c r="V200" s="269" t="e">
        <f>IF(C200="",NA(),MATCH($B200&amp;$C200,'Smelter Look-up'!$J:$J,0))</f>
        <v>#N/A</v>
      </c>
      <c r="W200" s="270"/>
      <c r="X200" s="270">
        <f t="shared" ca="1" si="10"/>
        <v>0</v>
      </c>
      <c r="Y200" s="270"/>
      <c r="Z200" s="270"/>
      <c r="AB200" s="272" t="str">
        <f t="shared" si="11"/>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9"/>
        <v/>
      </c>
      <c r="T201" s="224" t="str">
        <f ca="1">IF(B201="","",IF(ISERROR(MATCH($J201,SorP!$B$1:$B$6230,0)),"",INDIRECT("'SorP'!$A$"&amp;MATCH($J201,SorP!$B$1:$B$6230,0))))</f>
        <v/>
      </c>
      <c r="U201" s="239"/>
      <c r="V201" s="269" t="e">
        <f>IF(C201="",NA(),MATCH($B201&amp;$C201,'Smelter Look-up'!$J:$J,0))</f>
        <v>#N/A</v>
      </c>
      <c r="W201" s="270"/>
      <c r="X201" s="270">
        <f t="shared" ca="1" si="10"/>
        <v>0</v>
      </c>
      <c r="Y201" s="270"/>
      <c r="Z201" s="270"/>
      <c r="AB201" s="272" t="str">
        <f t="shared" si="11"/>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9"/>
        <v/>
      </c>
      <c r="T202" s="224" t="str">
        <f ca="1">IF(B202="","",IF(ISERROR(MATCH($J202,SorP!$B$1:$B$6230,0)),"",INDIRECT("'SorP'!$A$"&amp;MATCH($J202,SorP!$B$1:$B$6230,0))))</f>
        <v/>
      </c>
      <c r="U202" s="239"/>
      <c r="V202" s="269" t="e">
        <f>IF(C202="",NA(),MATCH($B202&amp;$C202,'Smelter Look-up'!$J:$J,0))</f>
        <v>#N/A</v>
      </c>
      <c r="W202" s="270"/>
      <c r="X202" s="270">
        <f t="shared" ca="1" si="10"/>
        <v>0</v>
      </c>
      <c r="Y202" s="270"/>
      <c r="Z202" s="270"/>
      <c r="AB202" s="272" t="str">
        <f t="shared" si="11"/>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9"/>
        <v/>
      </c>
      <c r="T203" s="224" t="str">
        <f ca="1">IF(B203="","",IF(ISERROR(MATCH($J203,SorP!$B$1:$B$6230,0)),"",INDIRECT("'SorP'!$A$"&amp;MATCH($J203,SorP!$B$1:$B$6230,0))))</f>
        <v/>
      </c>
      <c r="U203" s="239"/>
      <c r="V203" s="269" t="e">
        <f>IF(C203="",NA(),MATCH($B203&amp;$C203,'Smelter Look-up'!$J:$J,0))</f>
        <v>#N/A</v>
      </c>
      <c r="W203" s="270"/>
      <c r="X203" s="270">
        <f t="shared" ca="1" si="10"/>
        <v>0</v>
      </c>
      <c r="Y203" s="270"/>
      <c r="Z203" s="270"/>
      <c r="AB203" s="272" t="str">
        <f t="shared" si="11"/>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9"/>
        <v/>
      </c>
      <c r="T204" s="224" t="str">
        <f ca="1">IF(B204="","",IF(ISERROR(MATCH($J204,SorP!$B$1:$B$6230,0)),"",INDIRECT("'SorP'!$A$"&amp;MATCH($J204,SorP!$B$1:$B$6230,0))))</f>
        <v/>
      </c>
      <c r="U204" s="239"/>
      <c r="V204" s="269" t="e">
        <f>IF(C204="",NA(),MATCH($B204&amp;$C204,'Smelter Look-up'!$J:$J,0))</f>
        <v>#N/A</v>
      </c>
      <c r="W204" s="270"/>
      <c r="X204" s="270">
        <f t="shared" ca="1" si="10"/>
        <v>0</v>
      </c>
      <c r="Y204" s="270"/>
      <c r="Z204" s="270"/>
      <c r="AB204" s="272" t="str">
        <f t="shared" si="11"/>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9"/>
        <v/>
      </c>
      <c r="T205" s="224" t="str">
        <f ca="1">IF(B205="","",IF(ISERROR(MATCH($J205,SorP!$B$1:$B$6230,0)),"",INDIRECT("'SorP'!$A$"&amp;MATCH($J205,SorP!$B$1:$B$6230,0))))</f>
        <v/>
      </c>
      <c r="U205" s="239"/>
      <c r="V205" s="269" t="e">
        <f>IF(C205="",NA(),MATCH($B205&amp;$C205,'Smelter Look-up'!$J:$J,0))</f>
        <v>#N/A</v>
      </c>
      <c r="W205" s="270"/>
      <c r="X205" s="270">
        <f t="shared" ca="1" si="10"/>
        <v>0</v>
      </c>
      <c r="Y205" s="270"/>
      <c r="Z205" s="270"/>
      <c r="AB205" s="272" t="str">
        <f t="shared" si="11"/>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9"/>
        <v/>
      </c>
      <c r="T206" s="224" t="str">
        <f ca="1">IF(B206="","",IF(ISERROR(MATCH($J206,SorP!$B$1:$B$6230,0)),"",INDIRECT("'SorP'!$A$"&amp;MATCH($J206,SorP!$B$1:$B$6230,0))))</f>
        <v/>
      </c>
      <c r="U206" s="239"/>
      <c r="V206" s="269" t="e">
        <f>IF(C206="",NA(),MATCH($B206&amp;$C206,'Smelter Look-up'!$J:$J,0))</f>
        <v>#N/A</v>
      </c>
      <c r="W206" s="270"/>
      <c r="X206" s="270">
        <f t="shared" ca="1" si="10"/>
        <v>0</v>
      </c>
      <c r="Y206" s="270"/>
      <c r="Z206" s="270"/>
      <c r="AB206" s="272" t="str">
        <f t="shared" si="11"/>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9"/>
        <v/>
      </c>
      <c r="T207" s="224" t="str">
        <f ca="1">IF(B207="","",IF(ISERROR(MATCH($J207,SorP!$B$1:$B$6230,0)),"",INDIRECT("'SorP'!$A$"&amp;MATCH($J207,SorP!$B$1:$B$6230,0))))</f>
        <v/>
      </c>
      <c r="U207" s="239"/>
      <c r="V207" s="269" t="e">
        <f>IF(C207="",NA(),MATCH($B207&amp;$C207,'Smelter Look-up'!$J:$J,0))</f>
        <v>#N/A</v>
      </c>
      <c r="W207" s="270"/>
      <c r="X207" s="270">
        <f t="shared" ca="1" si="10"/>
        <v>0</v>
      </c>
      <c r="Y207" s="270"/>
      <c r="Z207" s="270"/>
      <c r="AB207" s="272" t="str">
        <f t="shared" si="11"/>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9"/>
        <v/>
      </c>
      <c r="T208" s="224" t="str">
        <f ca="1">IF(B208="","",IF(ISERROR(MATCH($J208,SorP!$B$1:$B$6230,0)),"",INDIRECT("'SorP'!$A$"&amp;MATCH($J208,SorP!$B$1:$B$6230,0))))</f>
        <v/>
      </c>
      <c r="U208" s="239"/>
      <c r="V208" s="269" t="e">
        <f>IF(C208="",NA(),MATCH($B208&amp;$C208,'Smelter Look-up'!$J:$J,0))</f>
        <v>#N/A</v>
      </c>
      <c r="W208" s="270"/>
      <c r="X208" s="270">
        <f t="shared" ca="1" si="10"/>
        <v>0</v>
      </c>
      <c r="Y208" s="270"/>
      <c r="Z208" s="270"/>
      <c r="AB208" s="272" t="str">
        <f t="shared" si="11"/>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9"/>
        <v/>
      </c>
      <c r="T209" s="224" t="str">
        <f ca="1">IF(B209="","",IF(ISERROR(MATCH($J209,SorP!$B$1:$B$6230,0)),"",INDIRECT("'SorP'!$A$"&amp;MATCH($J209,SorP!$B$1:$B$6230,0))))</f>
        <v/>
      </c>
      <c r="U209" s="239"/>
      <c r="V209" s="269" t="e">
        <f>IF(C209="",NA(),MATCH($B209&amp;$C209,'Smelter Look-up'!$J:$J,0))</f>
        <v>#N/A</v>
      </c>
      <c r="W209" s="270"/>
      <c r="X209" s="270">
        <f t="shared" ca="1" si="10"/>
        <v>0</v>
      </c>
      <c r="Y209" s="270"/>
      <c r="Z209" s="270"/>
      <c r="AB209" s="272" t="str">
        <f t="shared" si="11"/>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9"/>
        <v/>
      </c>
      <c r="T210" s="224" t="str">
        <f ca="1">IF(B210="","",IF(ISERROR(MATCH($J210,SorP!$B$1:$B$6230,0)),"",INDIRECT("'SorP'!$A$"&amp;MATCH($J210,SorP!$B$1:$B$6230,0))))</f>
        <v/>
      </c>
      <c r="U210" s="239"/>
      <c r="V210" s="269" t="e">
        <f>IF(C210="",NA(),MATCH($B210&amp;$C210,'Smelter Look-up'!$J:$J,0))</f>
        <v>#N/A</v>
      </c>
      <c r="W210" s="270"/>
      <c r="X210" s="270">
        <f t="shared" ca="1" si="10"/>
        <v>0</v>
      </c>
      <c r="Y210" s="270"/>
      <c r="Z210" s="270"/>
      <c r="AB210" s="272" t="str">
        <f t="shared" si="11"/>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9"/>
        <v/>
      </c>
      <c r="T211" s="224" t="str">
        <f ca="1">IF(B211="","",IF(ISERROR(MATCH($J211,SorP!$B$1:$B$6230,0)),"",INDIRECT("'SorP'!$A$"&amp;MATCH($J211,SorP!$B$1:$B$6230,0))))</f>
        <v/>
      </c>
      <c r="U211" s="239"/>
      <c r="V211" s="269" t="e">
        <f>IF(C211="",NA(),MATCH($B211&amp;$C211,'Smelter Look-up'!$J:$J,0))</f>
        <v>#N/A</v>
      </c>
      <c r="W211" s="270"/>
      <c r="X211" s="270">
        <f t="shared" ca="1" si="10"/>
        <v>0</v>
      </c>
      <c r="Y211" s="270"/>
      <c r="Z211" s="270"/>
      <c r="AB211" s="272" t="str">
        <f t="shared" si="11"/>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9"/>
        <v/>
      </c>
      <c r="T212" s="224" t="str">
        <f ca="1">IF(B212="","",IF(ISERROR(MATCH($J212,SorP!$B$1:$B$6230,0)),"",INDIRECT("'SorP'!$A$"&amp;MATCH($J212,SorP!$B$1:$B$6230,0))))</f>
        <v/>
      </c>
      <c r="U212" s="239"/>
      <c r="V212" s="269" t="e">
        <f>IF(C212="",NA(),MATCH($B212&amp;$C212,'Smelter Look-up'!$J:$J,0))</f>
        <v>#N/A</v>
      </c>
      <c r="W212" s="270"/>
      <c r="X212" s="270">
        <f t="shared" ca="1" si="10"/>
        <v>0</v>
      </c>
      <c r="Y212" s="270"/>
      <c r="Z212" s="270"/>
      <c r="AB212" s="272" t="str">
        <f t="shared" si="11"/>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9"/>
        <v/>
      </c>
      <c r="T213" s="224" t="str">
        <f ca="1">IF(B213="","",IF(ISERROR(MATCH($J213,SorP!$B$1:$B$6230,0)),"",INDIRECT("'SorP'!$A$"&amp;MATCH($J213,SorP!$B$1:$B$6230,0))))</f>
        <v/>
      </c>
      <c r="U213" s="239"/>
      <c r="V213" s="269" t="e">
        <f>IF(C213="",NA(),MATCH($B213&amp;$C213,'Smelter Look-up'!$J:$J,0))</f>
        <v>#N/A</v>
      </c>
      <c r="W213" s="270"/>
      <c r="X213" s="270">
        <f t="shared" ca="1" si="10"/>
        <v>0</v>
      </c>
      <c r="Y213" s="270"/>
      <c r="Z213" s="270"/>
      <c r="AB213" s="272" t="str">
        <f t="shared" si="11"/>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9"/>
        <v/>
      </c>
      <c r="T214" s="224" t="str">
        <f ca="1">IF(B214="","",IF(ISERROR(MATCH($J214,SorP!$B$1:$B$6230,0)),"",INDIRECT("'SorP'!$A$"&amp;MATCH($J214,SorP!$B$1:$B$6230,0))))</f>
        <v/>
      </c>
      <c r="U214" s="239"/>
      <c r="V214" s="269" t="e">
        <f>IF(C214="",NA(),MATCH($B214&amp;$C214,'Smelter Look-up'!$J:$J,0))</f>
        <v>#N/A</v>
      </c>
      <c r="W214" s="270"/>
      <c r="X214" s="270">
        <f t="shared" ca="1" si="10"/>
        <v>0</v>
      </c>
      <c r="Y214" s="270"/>
      <c r="Z214" s="270"/>
      <c r="AB214" s="272" t="str">
        <f t="shared" si="11"/>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9"/>
        <v/>
      </c>
      <c r="T215" s="224" t="str">
        <f ca="1">IF(B215="","",IF(ISERROR(MATCH($J215,SorP!$B$1:$B$6230,0)),"",INDIRECT("'SorP'!$A$"&amp;MATCH($J215,SorP!$B$1:$B$6230,0))))</f>
        <v/>
      </c>
      <c r="U215" s="239"/>
      <c r="V215" s="269" t="e">
        <f>IF(C215="",NA(),MATCH($B215&amp;$C215,'Smelter Look-up'!$J:$J,0))</f>
        <v>#N/A</v>
      </c>
      <c r="W215" s="270"/>
      <c r="X215" s="270">
        <f t="shared" ca="1" si="10"/>
        <v>0</v>
      </c>
      <c r="Y215" s="270"/>
      <c r="Z215" s="270"/>
      <c r="AB215" s="272" t="str">
        <f t="shared" si="11"/>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9"/>
        <v/>
      </c>
      <c r="T216" s="224" t="str">
        <f ca="1">IF(B216="","",IF(ISERROR(MATCH($J216,SorP!$B$1:$B$6230,0)),"",INDIRECT("'SorP'!$A$"&amp;MATCH($J216,SorP!$B$1:$B$6230,0))))</f>
        <v/>
      </c>
      <c r="U216" s="239"/>
      <c r="V216" s="269" t="e">
        <f>IF(C216="",NA(),MATCH($B216&amp;$C216,'Smelter Look-up'!$J:$J,0))</f>
        <v>#N/A</v>
      </c>
      <c r="W216" s="270"/>
      <c r="X216" s="270">
        <f t="shared" ca="1" si="10"/>
        <v>0</v>
      </c>
      <c r="Y216" s="270"/>
      <c r="Z216" s="270"/>
      <c r="AB216" s="272" t="str">
        <f t="shared" si="11"/>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9"/>
        <v/>
      </c>
      <c r="T217" s="224" t="str">
        <f ca="1">IF(B217="","",IF(ISERROR(MATCH($J217,SorP!$B$1:$B$6230,0)),"",INDIRECT("'SorP'!$A$"&amp;MATCH($J217,SorP!$B$1:$B$6230,0))))</f>
        <v/>
      </c>
      <c r="U217" s="239"/>
      <c r="V217" s="269" t="e">
        <f>IF(C217="",NA(),MATCH($B217&amp;$C217,'Smelter Look-up'!$J:$J,0))</f>
        <v>#N/A</v>
      </c>
      <c r="W217" s="270"/>
      <c r="X217" s="270">
        <f t="shared" ca="1" si="10"/>
        <v>0</v>
      </c>
      <c r="Y217" s="270"/>
      <c r="Z217" s="270"/>
      <c r="AB217" s="272" t="str">
        <f t="shared" si="11"/>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9"/>
        <v/>
      </c>
      <c r="T218" s="224" t="str">
        <f ca="1">IF(B218="","",IF(ISERROR(MATCH($J218,SorP!$B$1:$B$6230,0)),"",INDIRECT("'SorP'!$A$"&amp;MATCH($J218,SorP!$B$1:$B$6230,0))))</f>
        <v/>
      </c>
      <c r="U218" s="239"/>
      <c r="V218" s="269" t="e">
        <f>IF(C218="",NA(),MATCH($B218&amp;$C218,'Smelter Look-up'!$J:$J,0))</f>
        <v>#N/A</v>
      </c>
      <c r="W218" s="270"/>
      <c r="X218" s="270">
        <f t="shared" ca="1" si="10"/>
        <v>0</v>
      </c>
      <c r="Y218" s="270"/>
      <c r="Z218" s="270"/>
      <c r="AB218" s="272" t="str">
        <f t="shared" si="11"/>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9"/>
        <v/>
      </c>
      <c r="T219" s="224" t="str">
        <f ca="1">IF(B219="","",IF(ISERROR(MATCH($J219,SorP!$B$1:$B$6230,0)),"",INDIRECT("'SorP'!$A$"&amp;MATCH($J219,SorP!$B$1:$B$6230,0))))</f>
        <v/>
      </c>
      <c r="U219" s="239"/>
      <c r="V219" s="269" t="e">
        <f>IF(C219="",NA(),MATCH($B219&amp;$C219,'Smelter Look-up'!$J:$J,0))</f>
        <v>#N/A</v>
      </c>
      <c r="W219" s="270"/>
      <c r="X219" s="270">
        <f t="shared" ca="1" si="10"/>
        <v>0</v>
      </c>
      <c r="Y219" s="270"/>
      <c r="Z219" s="270"/>
      <c r="AB219" s="272" t="str">
        <f t="shared" si="11"/>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9"/>
        <v/>
      </c>
      <c r="T220" s="224" t="str">
        <f ca="1">IF(B220="","",IF(ISERROR(MATCH($J220,SorP!$B$1:$B$6230,0)),"",INDIRECT("'SorP'!$A$"&amp;MATCH($J220,SorP!$B$1:$B$6230,0))))</f>
        <v/>
      </c>
      <c r="U220" s="239"/>
      <c r="V220" s="269" t="e">
        <f>IF(C220="",NA(),MATCH($B220&amp;$C220,'Smelter Look-up'!$J:$J,0))</f>
        <v>#N/A</v>
      </c>
      <c r="W220" s="270"/>
      <c r="X220" s="270">
        <f t="shared" ca="1" si="10"/>
        <v>0</v>
      </c>
      <c r="Y220" s="270"/>
      <c r="Z220" s="270"/>
      <c r="AB220" s="272" t="str">
        <f t="shared" si="11"/>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9"/>
        <v/>
      </c>
      <c r="T221" s="224" t="str">
        <f ca="1">IF(B221="","",IF(ISERROR(MATCH($J221,SorP!$B$1:$B$6230,0)),"",INDIRECT("'SorP'!$A$"&amp;MATCH($J221,SorP!$B$1:$B$6230,0))))</f>
        <v/>
      </c>
      <c r="U221" s="239"/>
      <c r="V221" s="269" t="e">
        <f>IF(C221="",NA(),MATCH($B221&amp;$C221,'Smelter Look-up'!$J:$J,0))</f>
        <v>#N/A</v>
      </c>
      <c r="W221" s="270"/>
      <c r="X221" s="270">
        <f t="shared" ca="1" si="10"/>
        <v>0</v>
      </c>
      <c r="Y221" s="270"/>
      <c r="Z221" s="270"/>
      <c r="AB221" s="272" t="str">
        <f t="shared" si="11"/>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9"/>
        <v/>
      </c>
      <c r="T222" s="224" t="str">
        <f ca="1">IF(B222="","",IF(ISERROR(MATCH($J222,SorP!$B$1:$B$6230,0)),"",INDIRECT("'SorP'!$A$"&amp;MATCH($J222,SorP!$B$1:$B$6230,0))))</f>
        <v/>
      </c>
      <c r="U222" s="239"/>
      <c r="V222" s="269" t="e">
        <f>IF(C222="",NA(),MATCH($B222&amp;$C222,'Smelter Look-up'!$J:$J,0))</f>
        <v>#N/A</v>
      </c>
      <c r="W222" s="270"/>
      <c r="X222" s="270">
        <f t="shared" ca="1" si="10"/>
        <v>0</v>
      </c>
      <c r="Y222" s="270"/>
      <c r="Z222" s="270"/>
      <c r="AB222" s="272" t="str">
        <f t="shared" si="11"/>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9"/>
        <v/>
      </c>
      <c r="T223" s="224" t="str">
        <f ca="1">IF(B223="","",IF(ISERROR(MATCH($J223,SorP!$B$1:$B$6230,0)),"",INDIRECT("'SorP'!$A$"&amp;MATCH($J223,SorP!$B$1:$B$6230,0))))</f>
        <v/>
      </c>
      <c r="U223" s="239"/>
      <c r="V223" s="269" t="e">
        <f>IF(C223="",NA(),MATCH($B223&amp;$C223,'Smelter Look-up'!$J:$J,0))</f>
        <v>#N/A</v>
      </c>
      <c r="W223" s="270"/>
      <c r="X223" s="270">
        <f t="shared" ca="1" si="10"/>
        <v>0</v>
      </c>
      <c r="Y223" s="270"/>
      <c r="Z223" s="270"/>
      <c r="AB223" s="272" t="str">
        <f t="shared" si="11"/>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9"/>
        <v/>
      </c>
      <c r="T224" s="224" t="str">
        <f ca="1">IF(B224="","",IF(ISERROR(MATCH($J224,SorP!$B$1:$B$6230,0)),"",INDIRECT("'SorP'!$A$"&amp;MATCH($J224,SorP!$B$1:$B$6230,0))))</f>
        <v/>
      </c>
      <c r="U224" s="239"/>
      <c r="V224" s="269" t="e">
        <f>IF(C224="",NA(),MATCH($B224&amp;$C224,'Smelter Look-up'!$J:$J,0))</f>
        <v>#N/A</v>
      </c>
      <c r="W224" s="270"/>
      <c r="X224" s="270">
        <f t="shared" ca="1" si="10"/>
        <v>0</v>
      </c>
      <c r="Y224" s="270"/>
      <c r="Z224" s="270"/>
      <c r="AB224" s="272" t="str">
        <f t="shared" si="11"/>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9"/>
        <v/>
      </c>
      <c r="T225" s="224" t="str">
        <f ca="1">IF(B225="","",IF(ISERROR(MATCH($J225,SorP!$B$1:$B$6230,0)),"",INDIRECT("'SorP'!$A$"&amp;MATCH($J225,SorP!$B$1:$B$6230,0))))</f>
        <v/>
      </c>
      <c r="U225" s="239"/>
      <c r="V225" s="269" t="e">
        <f>IF(C225="",NA(),MATCH($B225&amp;$C225,'Smelter Look-up'!$J:$J,0))</f>
        <v>#N/A</v>
      </c>
      <c r="W225" s="270"/>
      <c r="X225" s="270">
        <f t="shared" ca="1" si="10"/>
        <v>0</v>
      </c>
      <c r="Y225" s="270"/>
      <c r="Z225" s="270"/>
      <c r="AB225" s="272" t="str">
        <f t="shared" si="11"/>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9"/>
        <v/>
      </c>
      <c r="T226" s="224" t="str">
        <f ca="1">IF(B226="","",IF(ISERROR(MATCH($J226,SorP!$B$1:$B$6230,0)),"",INDIRECT("'SorP'!$A$"&amp;MATCH($J226,SorP!$B$1:$B$6230,0))))</f>
        <v/>
      </c>
      <c r="U226" s="239"/>
      <c r="V226" s="269" t="e">
        <f>IF(C226="",NA(),MATCH($B226&amp;$C226,'Smelter Look-up'!$J:$J,0))</f>
        <v>#N/A</v>
      </c>
      <c r="W226" s="270"/>
      <c r="X226" s="270">
        <f t="shared" ca="1" si="10"/>
        <v>0</v>
      </c>
      <c r="Y226" s="270"/>
      <c r="Z226" s="270"/>
      <c r="AB226" s="272" t="str">
        <f t="shared" si="11"/>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9"/>
        <v/>
      </c>
      <c r="T227" s="224" t="str">
        <f ca="1">IF(B227="","",IF(ISERROR(MATCH($J227,SorP!$B$1:$B$6230,0)),"",INDIRECT("'SorP'!$A$"&amp;MATCH($J227,SorP!$B$1:$B$6230,0))))</f>
        <v/>
      </c>
      <c r="U227" s="239"/>
      <c r="V227" s="269" t="e">
        <f>IF(C227="",NA(),MATCH($B227&amp;$C227,'Smelter Look-up'!$J:$J,0))</f>
        <v>#N/A</v>
      </c>
      <c r="W227" s="270"/>
      <c r="X227" s="270">
        <f t="shared" ca="1" si="10"/>
        <v>0</v>
      </c>
      <c r="Y227" s="270"/>
      <c r="Z227" s="270"/>
      <c r="AB227" s="272" t="str">
        <f t="shared" si="11"/>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9"/>
        <v/>
      </c>
      <c r="T228" s="224" t="str">
        <f ca="1">IF(B228="","",IF(ISERROR(MATCH($J228,SorP!$B$1:$B$6230,0)),"",INDIRECT("'SorP'!$A$"&amp;MATCH($J228,SorP!$B$1:$B$6230,0))))</f>
        <v/>
      </c>
      <c r="U228" s="239"/>
      <c r="V228" s="269" t="e">
        <f>IF(C228="",NA(),MATCH($B228&amp;$C228,'Smelter Look-up'!$J:$J,0))</f>
        <v>#N/A</v>
      </c>
      <c r="W228" s="270"/>
      <c r="X228" s="270">
        <f t="shared" ca="1" si="10"/>
        <v>0</v>
      </c>
      <c r="Y228" s="270"/>
      <c r="Z228" s="270"/>
      <c r="AB228" s="272" t="str">
        <f t="shared" si="11"/>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9"/>
        <v/>
      </c>
      <c r="T229" s="224" t="str">
        <f ca="1">IF(B229="","",IF(ISERROR(MATCH($J229,SorP!$B$1:$B$6230,0)),"",INDIRECT("'SorP'!$A$"&amp;MATCH($J229,SorP!$B$1:$B$6230,0))))</f>
        <v/>
      </c>
      <c r="U229" s="239"/>
      <c r="V229" s="269" t="e">
        <f>IF(C229="",NA(),MATCH($B229&amp;$C229,'Smelter Look-up'!$J:$J,0))</f>
        <v>#N/A</v>
      </c>
      <c r="W229" s="270"/>
      <c r="X229" s="270">
        <f t="shared" ca="1" si="10"/>
        <v>0</v>
      </c>
      <c r="Y229" s="270"/>
      <c r="Z229" s="270"/>
      <c r="AB229" s="272" t="str">
        <f t="shared" si="11"/>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9"/>
        <v/>
      </c>
      <c r="T230" s="224" t="str">
        <f ca="1">IF(B230="","",IF(ISERROR(MATCH($J230,SorP!$B$1:$B$6230,0)),"",INDIRECT("'SorP'!$A$"&amp;MATCH($J230,SorP!$B$1:$B$6230,0))))</f>
        <v/>
      </c>
      <c r="U230" s="239"/>
      <c r="V230" s="269" t="e">
        <f>IF(C230="",NA(),MATCH($B230&amp;$C230,'Smelter Look-up'!$J:$J,0))</f>
        <v>#N/A</v>
      </c>
      <c r="W230" s="270"/>
      <c r="X230" s="270">
        <f t="shared" ca="1" si="10"/>
        <v>0</v>
      </c>
      <c r="Y230" s="270"/>
      <c r="Z230" s="270"/>
      <c r="AB230" s="272" t="str">
        <f t="shared" si="11"/>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9"/>
        <v/>
      </c>
      <c r="T231" s="224" t="str">
        <f ca="1">IF(B231="","",IF(ISERROR(MATCH($J231,SorP!$B$1:$B$6230,0)),"",INDIRECT("'SorP'!$A$"&amp;MATCH($J231,SorP!$B$1:$B$6230,0))))</f>
        <v/>
      </c>
      <c r="U231" s="239"/>
      <c r="V231" s="269" t="e">
        <f>IF(C231="",NA(),MATCH($B231&amp;$C231,'Smelter Look-up'!$J:$J,0))</f>
        <v>#N/A</v>
      </c>
      <c r="W231" s="270"/>
      <c r="X231" s="270">
        <f t="shared" ca="1" si="10"/>
        <v>0</v>
      </c>
      <c r="Y231" s="270"/>
      <c r="Z231" s="270"/>
      <c r="AB231" s="272" t="str">
        <f t="shared" si="11"/>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9"/>
        <v/>
      </c>
      <c r="T232" s="224" t="str">
        <f ca="1">IF(B232="","",IF(ISERROR(MATCH($J232,SorP!$B$1:$B$6230,0)),"",INDIRECT("'SorP'!$A$"&amp;MATCH($J232,SorP!$B$1:$B$6230,0))))</f>
        <v/>
      </c>
      <c r="U232" s="239"/>
      <c r="V232" s="269" t="e">
        <f>IF(C232="",NA(),MATCH($B232&amp;$C232,'Smelter Look-up'!$J:$J,0))</f>
        <v>#N/A</v>
      </c>
      <c r="W232" s="270"/>
      <c r="X232" s="270">
        <f t="shared" ca="1" si="10"/>
        <v>0</v>
      </c>
      <c r="Y232" s="270"/>
      <c r="Z232" s="270"/>
      <c r="AB232" s="272" t="str">
        <f t="shared" si="11"/>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9"/>
        <v/>
      </c>
      <c r="T233" s="224" t="str">
        <f ca="1">IF(B233="","",IF(ISERROR(MATCH($J233,SorP!$B$1:$B$6230,0)),"",INDIRECT("'SorP'!$A$"&amp;MATCH($J233,SorP!$B$1:$B$6230,0))))</f>
        <v/>
      </c>
      <c r="U233" s="239"/>
      <c r="V233" s="269" t="e">
        <f>IF(C233="",NA(),MATCH($B233&amp;$C233,'Smelter Look-up'!$J:$J,0))</f>
        <v>#N/A</v>
      </c>
      <c r="W233" s="270"/>
      <c r="X233" s="270">
        <f t="shared" ca="1" si="10"/>
        <v>0</v>
      </c>
      <c r="Y233" s="270"/>
      <c r="Z233" s="270"/>
      <c r="AB233" s="272" t="str">
        <f t="shared" si="11"/>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9"/>
        <v/>
      </c>
      <c r="T234" s="224" t="str">
        <f ca="1">IF(B234="","",IF(ISERROR(MATCH($J234,SorP!$B$1:$B$6230,0)),"",INDIRECT("'SorP'!$A$"&amp;MATCH($J234,SorP!$B$1:$B$6230,0))))</f>
        <v/>
      </c>
      <c r="U234" s="239"/>
      <c r="V234" s="269" t="e">
        <f>IF(C234="",NA(),MATCH($B234&amp;$C234,'Smelter Look-up'!$J:$J,0))</f>
        <v>#N/A</v>
      </c>
      <c r="W234" s="270"/>
      <c r="X234" s="270">
        <f t="shared" ca="1" si="10"/>
        <v>0</v>
      </c>
      <c r="Y234" s="270"/>
      <c r="Z234" s="270"/>
      <c r="AB234" s="272" t="str">
        <f t="shared" si="11"/>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9"/>
        <v/>
      </c>
      <c r="T235" s="224" t="str">
        <f ca="1">IF(B235="","",IF(ISERROR(MATCH($J235,SorP!$B$1:$B$6230,0)),"",INDIRECT("'SorP'!$A$"&amp;MATCH($J235,SorP!$B$1:$B$6230,0))))</f>
        <v/>
      </c>
      <c r="U235" s="239"/>
      <c r="V235" s="269" t="e">
        <f>IF(C235="",NA(),MATCH($B235&amp;$C235,'Smelter Look-up'!$J:$J,0))</f>
        <v>#N/A</v>
      </c>
      <c r="W235" s="270"/>
      <c r="X235" s="270">
        <f t="shared" ca="1" si="10"/>
        <v>0</v>
      </c>
      <c r="Y235" s="270"/>
      <c r="Z235" s="270"/>
      <c r="AB235" s="272" t="str">
        <f t="shared" si="11"/>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9"/>
        <v/>
      </c>
      <c r="T236" s="224" t="str">
        <f ca="1">IF(B236="","",IF(ISERROR(MATCH($J236,SorP!$B$1:$B$6230,0)),"",INDIRECT("'SorP'!$A$"&amp;MATCH($J236,SorP!$B$1:$B$6230,0))))</f>
        <v/>
      </c>
      <c r="U236" s="239"/>
      <c r="V236" s="269" t="e">
        <f>IF(C236="",NA(),MATCH($B236&amp;$C236,'Smelter Look-up'!$J:$J,0))</f>
        <v>#N/A</v>
      </c>
      <c r="W236" s="270"/>
      <c r="X236" s="270">
        <f t="shared" ca="1" si="10"/>
        <v>0</v>
      </c>
      <c r="Y236" s="270"/>
      <c r="Z236" s="270"/>
      <c r="AB236" s="272" t="str">
        <f t="shared" si="11"/>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9"/>
        <v/>
      </c>
      <c r="T237" s="224" t="str">
        <f ca="1">IF(B237="","",IF(ISERROR(MATCH($J237,SorP!$B$1:$B$6230,0)),"",INDIRECT("'SorP'!$A$"&amp;MATCH($J237,SorP!$B$1:$B$6230,0))))</f>
        <v/>
      </c>
      <c r="U237" s="239"/>
      <c r="V237" s="269" t="e">
        <f>IF(C237="",NA(),MATCH($B237&amp;$C237,'Smelter Look-up'!$J:$J,0))</f>
        <v>#N/A</v>
      </c>
      <c r="W237" s="270"/>
      <c r="X237" s="270">
        <f t="shared" ca="1" si="10"/>
        <v>0</v>
      </c>
      <c r="Y237" s="270"/>
      <c r="Z237" s="270"/>
      <c r="AB237" s="272" t="str">
        <f t="shared" si="11"/>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9"/>
        <v/>
      </c>
      <c r="T238" s="224" t="str">
        <f ca="1">IF(B238="","",IF(ISERROR(MATCH($J238,SorP!$B$1:$B$6230,0)),"",INDIRECT("'SorP'!$A$"&amp;MATCH($J238,SorP!$B$1:$B$6230,0))))</f>
        <v/>
      </c>
      <c r="U238" s="239"/>
      <c r="V238" s="269" t="e">
        <f>IF(C238="",NA(),MATCH($B238&amp;$C238,'Smelter Look-up'!$J:$J,0))</f>
        <v>#N/A</v>
      </c>
      <c r="W238" s="270"/>
      <c r="X238" s="270">
        <f t="shared" ca="1" si="10"/>
        <v>0</v>
      </c>
      <c r="Y238" s="270"/>
      <c r="Z238" s="270"/>
      <c r="AB238" s="272" t="str">
        <f t="shared" si="11"/>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9"/>
        <v/>
      </c>
      <c r="T239" s="224" t="str">
        <f ca="1">IF(B239="","",IF(ISERROR(MATCH($J239,SorP!$B$1:$B$6230,0)),"",INDIRECT("'SorP'!$A$"&amp;MATCH($J239,SorP!$B$1:$B$6230,0))))</f>
        <v/>
      </c>
      <c r="U239" s="239"/>
      <c r="V239" s="269" t="e">
        <f>IF(C239="",NA(),MATCH($B239&amp;$C239,'Smelter Look-up'!$J:$J,0))</f>
        <v>#N/A</v>
      </c>
      <c r="W239" s="270"/>
      <c r="X239" s="270">
        <f t="shared" ca="1" si="10"/>
        <v>0</v>
      </c>
      <c r="Y239" s="270"/>
      <c r="Z239" s="270"/>
      <c r="AB239" s="272" t="str">
        <f t="shared" si="11"/>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9"/>
        <v/>
      </c>
      <c r="T240" s="224" t="str">
        <f ca="1">IF(B240="","",IF(ISERROR(MATCH($J240,SorP!$B$1:$B$6230,0)),"",INDIRECT("'SorP'!$A$"&amp;MATCH($J240,SorP!$B$1:$B$6230,0))))</f>
        <v/>
      </c>
      <c r="U240" s="239"/>
      <c r="V240" s="269" t="e">
        <f>IF(C240="",NA(),MATCH($B240&amp;$C240,'Smelter Look-up'!$J:$J,0))</f>
        <v>#N/A</v>
      </c>
      <c r="W240" s="270"/>
      <c r="X240" s="270">
        <f t="shared" ca="1" si="10"/>
        <v>0</v>
      </c>
      <c r="Y240" s="270"/>
      <c r="Z240" s="270"/>
      <c r="AB240" s="272" t="str">
        <f t="shared" si="11"/>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9"/>
        <v/>
      </c>
      <c r="T241" s="224" t="str">
        <f ca="1">IF(B241="","",IF(ISERROR(MATCH($J241,SorP!$B$1:$B$6230,0)),"",INDIRECT("'SorP'!$A$"&amp;MATCH($J241,SorP!$B$1:$B$6230,0))))</f>
        <v/>
      </c>
      <c r="U241" s="239"/>
      <c r="V241" s="269" t="e">
        <f>IF(C241="",NA(),MATCH($B241&amp;$C241,'Smelter Look-up'!$J:$J,0))</f>
        <v>#N/A</v>
      </c>
      <c r="W241" s="270"/>
      <c r="X241" s="270">
        <f t="shared" ca="1" si="10"/>
        <v>0</v>
      </c>
      <c r="Y241" s="270"/>
      <c r="Z241" s="270"/>
      <c r="AB241" s="272" t="str">
        <f t="shared" si="11"/>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9"/>
        <v/>
      </c>
      <c r="T242" s="224" t="str">
        <f ca="1">IF(B242="","",IF(ISERROR(MATCH($J242,SorP!$B$1:$B$6230,0)),"",INDIRECT("'SorP'!$A$"&amp;MATCH($J242,SorP!$B$1:$B$6230,0))))</f>
        <v/>
      </c>
      <c r="U242" s="239"/>
      <c r="V242" s="269" t="e">
        <f>IF(C242="",NA(),MATCH($B242&amp;$C242,'Smelter Look-up'!$J:$J,0))</f>
        <v>#N/A</v>
      </c>
      <c r="W242" s="270"/>
      <c r="X242" s="270">
        <f t="shared" ca="1" si="10"/>
        <v>0</v>
      </c>
      <c r="Y242" s="270"/>
      <c r="Z242" s="270"/>
      <c r="AB242" s="272" t="str">
        <f t="shared" si="11"/>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9"/>
        <v/>
      </c>
      <c r="T243" s="224" t="str">
        <f ca="1">IF(B243="","",IF(ISERROR(MATCH($J243,SorP!$B$1:$B$6230,0)),"",INDIRECT("'SorP'!$A$"&amp;MATCH($J243,SorP!$B$1:$B$6230,0))))</f>
        <v/>
      </c>
      <c r="U243" s="239"/>
      <c r="V243" s="269" t="e">
        <f>IF(C243="",NA(),MATCH($B243&amp;$C243,'Smelter Look-up'!$J:$J,0))</f>
        <v>#N/A</v>
      </c>
      <c r="W243" s="270"/>
      <c r="X243" s="270">
        <f t="shared" ca="1" si="10"/>
        <v>0</v>
      </c>
      <c r="Y243" s="270"/>
      <c r="Z243" s="270"/>
      <c r="AB243" s="272" t="str">
        <f t="shared" si="11"/>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9"/>
        <v/>
      </c>
      <c r="T244" s="224" t="str">
        <f ca="1">IF(B244="","",IF(ISERROR(MATCH($J244,SorP!$B$1:$B$6230,0)),"",INDIRECT("'SorP'!$A$"&amp;MATCH($J244,SorP!$B$1:$B$6230,0))))</f>
        <v/>
      </c>
      <c r="U244" s="239"/>
      <c r="V244" s="269" t="e">
        <f>IF(C244="",NA(),MATCH($B244&amp;$C244,'Smelter Look-up'!$J:$J,0))</f>
        <v>#N/A</v>
      </c>
      <c r="W244" s="270"/>
      <c r="X244" s="270">
        <f t="shared" ca="1" si="10"/>
        <v>0</v>
      </c>
      <c r="Y244" s="270"/>
      <c r="Z244" s="270"/>
      <c r="AB244" s="272" t="str">
        <f t="shared" si="11"/>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9"/>
        <v/>
      </c>
      <c r="T245" s="224" t="str">
        <f ca="1">IF(B245="","",IF(ISERROR(MATCH($J245,SorP!$B$1:$B$6230,0)),"",INDIRECT("'SorP'!$A$"&amp;MATCH($J245,SorP!$B$1:$B$6230,0))))</f>
        <v/>
      </c>
      <c r="U245" s="239"/>
      <c r="V245" s="269" t="e">
        <f>IF(C245="",NA(),MATCH($B245&amp;$C245,'Smelter Look-up'!$J:$J,0))</f>
        <v>#N/A</v>
      </c>
      <c r="W245" s="270"/>
      <c r="X245" s="270">
        <f t="shared" ca="1" si="10"/>
        <v>0</v>
      </c>
      <c r="Y245" s="270"/>
      <c r="Z245" s="270"/>
      <c r="AB245" s="272" t="str">
        <f t="shared" si="11"/>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9"/>
        <v/>
      </c>
      <c r="T246" s="224" t="str">
        <f ca="1">IF(B246="","",IF(ISERROR(MATCH($J246,SorP!$B$1:$B$6230,0)),"",INDIRECT("'SorP'!$A$"&amp;MATCH($J246,SorP!$B$1:$B$6230,0))))</f>
        <v/>
      </c>
      <c r="U246" s="239"/>
      <c r="V246" s="269" t="e">
        <f>IF(C246="",NA(),MATCH($B246&amp;$C246,'Smelter Look-up'!$J:$J,0))</f>
        <v>#N/A</v>
      </c>
      <c r="W246" s="270"/>
      <c r="X246" s="270">
        <f t="shared" ca="1" si="10"/>
        <v>0</v>
      </c>
      <c r="Y246" s="270"/>
      <c r="Z246" s="270"/>
      <c r="AB246" s="272" t="str">
        <f t="shared" si="11"/>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9"/>
        <v/>
      </c>
      <c r="T247" s="224" t="str">
        <f ca="1">IF(B247="","",IF(ISERROR(MATCH($J247,SorP!$B$1:$B$6230,0)),"",INDIRECT("'SorP'!$A$"&amp;MATCH($J247,SorP!$B$1:$B$6230,0))))</f>
        <v/>
      </c>
      <c r="U247" s="239"/>
      <c r="V247" s="269" t="e">
        <f>IF(C247="",NA(),MATCH($B247&amp;$C247,'Smelter Look-up'!$J:$J,0))</f>
        <v>#N/A</v>
      </c>
      <c r="W247" s="270"/>
      <c r="X247" s="270">
        <f t="shared" ca="1" si="10"/>
        <v>0</v>
      </c>
      <c r="Y247" s="270"/>
      <c r="Z247" s="270"/>
      <c r="AB247" s="272" t="str">
        <f t="shared" si="11"/>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9"/>
        <v/>
      </c>
      <c r="T248" s="224" t="str">
        <f ca="1">IF(B248="","",IF(ISERROR(MATCH($J248,SorP!$B$1:$B$6230,0)),"",INDIRECT("'SorP'!$A$"&amp;MATCH($J248,SorP!$B$1:$B$6230,0))))</f>
        <v/>
      </c>
      <c r="U248" s="239"/>
      <c r="V248" s="269" t="e">
        <f>IF(C248="",NA(),MATCH($B248&amp;$C248,'Smelter Look-up'!$J:$J,0))</f>
        <v>#N/A</v>
      </c>
      <c r="W248" s="270"/>
      <c r="X248" s="270">
        <f t="shared" ca="1" si="10"/>
        <v>0</v>
      </c>
      <c r="Y248" s="270"/>
      <c r="Z248" s="270"/>
      <c r="AB248" s="272" t="str">
        <f t="shared" si="11"/>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9"/>
        <v/>
      </c>
      <c r="T249" s="224" t="str">
        <f ca="1">IF(B249="","",IF(ISERROR(MATCH($J249,SorP!$B$1:$B$6230,0)),"",INDIRECT("'SorP'!$A$"&amp;MATCH($J249,SorP!$B$1:$B$6230,0))))</f>
        <v/>
      </c>
      <c r="U249" s="239"/>
      <c r="V249" s="269" t="e">
        <f>IF(C249="",NA(),MATCH($B249&amp;$C249,'Smelter Look-up'!$J:$J,0))</f>
        <v>#N/A</v>
      </c>
      <c r="W249" s="270"/>
      <c r="X249" s="270">
        <f t="shared" ca="1" si="10"/>
        <v>0</v>
      </c>
      <c r="Y249" s="270"/>
      <c r="Z249" s="270"/>
      <c r="AB249" s="272" t="str">
        <f t="shared" si="11"/>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9"/>
        <v/>
      </c>
      <c r="T250" s="224" t="str">
        <f ca="1">IF(B250="","",IF(ISERROR(MATCH($J250,SorP!$B$1:$B$6230,0)),"",INDIRECT("'SorP'!$A$"&amp;MATCH($J250,SorP!$B$1:$B$6230,0))))</f>
        <v/>
      </c>
      <c r="U250" s="239"/>
      <c r="V250" s="269" t="e">
        <f>IF(C250="",NA(),MATCH($B250&amp;$C250,'Smelter Look-up'!$J:$J,0))</f>
        <v>#N/A</v>
      </c>
      <c r="W250" s="270"/>
      <c r="X250" s="270">
        <f t="shared" ca="1" si="10"/>
        <v>0</v>
      </c>
      <c r="Y250" s="270"/>
      <c r="Z250" s="270"/>
      <c r="AB250" s="272" t="str">
        <f t="shared" si="11"/>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9"/>
        <v/>
      </c>
      <c r="T251" s="224" t="str">
        <f ca="1">IF(B251="","",IF(ISERROR(MATCH($J251,SorP!$B$1:$B$6230,0)),"",INDIRECT("'SorP'!$A$"&amp;MATCH($J251,SorP!$B$1:$B$6230,0))))</f>
        <v/>
      </c>
      <c r="U251" s="239"/>
      <c r="V251" s="269" t="e">
        <f>IF(C251="",NA(),MATCH($B251&amp;$C251,'Smelter Look-up'!$J:$J,0))</f>
        <v>#N/A</v>
      </c>
      <c r="W251" s="270"/>
      <c r="X251" s="270">
        <f t="shared" ca="1" si="10"/>
        <v>0</v>
      </c>
      <c r="Y251" s="270"/>
      <c r="Z251" s="270"/>
      <c r="AB251" s="272" t="str">
        <f t="shared" si="11"/>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9"/>
        <v/>
      </c>
      <c r="T252" s="224" t="str">
        <f ca="1">IF(B252="","",IF(ISERROR(MATCH($J252,SorP!$B$1:$B$6230,0)),"",INDIRECT("'SorP'!$A$"&amp;MATCH($J252,SorP!$B$1:$B$6230,0))))</f>
        <v/>
      </c>
      <c r="U252" s="239"/>
      <c r="V252" s="269" t="e">
        <f>IF(C252="",NA(),MATCH($B252&amp;$C252,'Smelter Look-up'!$J:$J,0))</f>
        <v>#N/A</v>
      </c>
      <c r="W252" s="270"/>
      <c r="X252" s="270">
        <f t="shared" ca="1" si="10"/>
        <v>0</v>
      </c>
      <c r="Y252" s="270"/>
      <c r="Z252" s="270"/>
      <c r="AB252" s="272" t="str">
        <f t="shared" si="11"/>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9"/>
        <v/>
      </c>
      <c r="T253" s="224" t="str">
        <f ca="1">IF(B253="","",IF(ISERROR(MATCH($J253,SorP!$B$1:$B$6230,0)),"",INDIRECT("'SorP'!$A$"&amp;MATCH($J253,SorP!$B$1:$B$6230,0))))</f>
        <v/>
      </c>
      <c r="U253" s="239"/>
      <c r="V253" s="269" t="e">
        <f>IF(C253="",NA(),MATCH($B253&amp;$C253,'Smelter Look-up'!$J:$J,0))</f>
        <v>#N/A</v>
      </c>
      <c r="W253" s="270"/>
      <c r="X253" s="270">
        <f t="shared" ca="1" si="10"/>
        <v>0</v>
      </c>
      <c r="Y253" s="270"/>
      <c r="Z253" s="270"/>
      <c r="AB253" s="272" t="str">
        <f t="shared" si="11"/>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9"/>
        <v/>
      </c>
      <c r="T254" s="224" t="str">
        <f ca="1">IF(B254="","",IF(ISERROR(MATCH($J254,SorP!$B$1:$B$6230,0)),"",INDIRECT("'SorP'!$A$"&amp;MATCH($J254,SorP!$B$1:$B$6230,0))))</f>
        <v/>
      </c>
      <c r="U254" s="239"/>
      <c r="V254" s="269" t="e">
        <f>IF(C254="",NA(),MATCH($B254&amp;$C254,'Smelter Look-up'!$J:$J,0))</f>
        <v>#N/A</v>
      </c>
      <c r="W254" s="270"/>
      <c r="X254" s="270">
        <f t="shared" ca="1" si="10"/>
        <v>0</v>
      </c>
      <c r="Y254" s="270"/>
      <c r="Z254" s="270"/>
      <c r="AB254" s="272" t="str">
        <f t="shared" si="11"/>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9"/>
        <v/>
      </c>
      <c r="T255" s="224" t="str">
        <f ca="1">IF(B255="","",IF(ISERROR(MATCH($J255,SorP!$B$1:$B$6230,0)),"",INDIRECT("'SorP'!$A$"&amp;MATCH($J255,SorP!$B$1:$B$6230,0))))</f>
        <v/>
      </c>
      <c r="U255" s="239"/>
      <c r="V255" s="269" t="e">
        <f>IF(C255="",NA(),MATCH($B255&amp;$C255,'Smelter Look-up'!$J:$J,0))</f>
        <v>#N/A</v>
      </c>
      <c r="W255" s="270"/>
      <c r="X255" s="270">
        <f t="shared" ca="1" si="10"/>
        <v>0</v>
      </c>
      <c r="Y255" s="270"/>
      <c r="Z255" s="270"/>
      <c r="AB255" s="272" t="str">
        <f t="shared" si="11"/>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9"/>
        <v/>
      </c>
      <c r="T256" s="224" t="str">
        <f ca="1">IF(B256="","",IF(ISERROR(MATCH($J256,SorP!$B$1:$B$6230,0)),"",INDIRECT("'SorP'!$A$"&amp;MATCH($J256,SorP!$B$1:$B$6230,0))))</f>
        <v/>
      </c>
      <c r="U256" s="239"/>
      <c r="V256" s="269" t="e">
        <f>IF(C256="",NA(),MATCH($B256&amp;$C256,'Smelter Look-up'!$J:$J,0))</f>
        <v>#N/A</v>
      </c>
      <c r="W256" s="270"/>
      <c r="X256" s="270">
        <f t="shared" ca="1" si="10"/>
        <v>0</v>
      </c>
      <c r="Y256" s="270"/>
      <c r="Z256" s="270"/>
      <c r="AB256" s="272" t="str">
        <f t="shared" si="11"/>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9"/>
        <v/>
      </c>
      <c r="T257" s="224" t="str">
        <f ca="1">IF(B257="","",IF(ISERROR(MATCH($J257,SorP!$B$1:$B$6230,0)),"",INDIRECT("'SorP'!$A$"&amp;MATCH($J257,SorP!$B$1:$B$6230,0))))</f>
        <v/>
      </c>
      <c r="U257" s="239"/>
      <c r="V257" s="269" t="e">
        <f>IF(C257="",NA(),MATCH($B257&amp;$C257,'Smelter Look-up'!$J:$J,0))</f>
        <v>#N/A</v>
      </c>
      <c r="W257" s="270"/>
      <c r="X257" s="270">
        <f t="shared" ca="1" si="10"/>
        <v>0</v>
      </c>
      <c r="Y257" s="270"/>
      <c r="Z257" s="270"/>
      <c r="AB257" s="272" t="str">
        <f t="shared" si="11"/>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9"/>
        <v/>
      </c>
      <c r="T258" s="224" t="str">
        <f ca="1">IF(B258="","",IF(ISERROR(MATCH($J258,SorP!$B$1:$B$6230,0)),"",INDIRECT("'SorP'!$A$"&amp;MATCH($J258,SorP!$B$1:$B$6230,0))))</f>
        <v/>
      </c>
      <c r="U258" s="239"/>
      <c r="V258" s="269" t="e">
        <f>IF(C258="",NA(),MATCH($B258&amp;$C258,'Smelter Look-up'!$J:$J,0))</f>
        <v>#N/A</v>
      </c>
      <c r="W258" s="270"/>
      <c r="X258" s="270">
        <f t="shared" ca="1" si="10"/>
        <v>0</v>
      </c>
      <c r="Y258" s="270"/>
      <c r="Z258" s="270"/>
      <c r="AB258" s="272" t="str">
        <f t="shared" si="11"/>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9"/>
        <v/>
      </c>
      <c r="T259" s="224" t="str">
        <f ca="1">IF(B259="","",IF(ISERROR(MATCH($J259,SorP!$B$1:$B$6230,0)),"",INDIRECT("'SorP'!$A$"&amp;MATCH($J259,SorP!$B$1:$B$6230,0))))</f>
        <v/>
      </c>
      <c r="U259" s="239"/>
      <c r="V259" s="269" t="e">
        <f>IF(C259="",NA(),MATCH($B259&amp;$C259,'Smelter Look-up'!$J:$J,0))</f>
        <v>#N/A</v>
      </c>
      <c r="W259" s="270"/>
      <c r="X259" s="270">
        <f t="shared" ca="1" si="10"/>
        <v>0</v>
      </c>
      <c r="Y259" s="270"/>
      <c r="Z259" s="270"/>
      <c r="AB259" s="272" t="str">
        <f t="shared" si="11"/>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9"/>
        <v/>
      </c>
      <c r="T260" s="224" t="str">
        <f ca="1">IF(B260="","",IF(ISERROR(MATCH($J260,SorP!$B$1:$B$6230,0)),"",INDIRECT("'SorP'!$A$"&amp;MATCH($J260,SorP!$B$1:$B$6230,0))))</f>
        <v/>
      </c>
      <c r="U260" s="239"/>
      <c r="V260" s="269" t="e">
        <f>IF(C260="",NA(),MATCH($B260&amp;$C260,'Smelter Look-up'!$J:$J,0))</f>
        <v>#N/A</v>
      </c>
      <c r="W260" s="270"/>
      <c r="X260" s="270">
        <f t="shared" ca="1" si="10"/>
        <v>0</v>
      </c>
      <c r="Y260" s="270"/>
      <c r="Z260" s="270"/>
      <c r="AB260" s="272" t="str">
        <f t="shared" si="11"/>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2">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3">IF(AND(C261="Smelter not listed",OR(LEN(D261)=0,LEN(E261)=0)),1,0)</f>
        <v>0</v>
      </c>
      <c r="Y261" s="270"/>
      <c r="Z261" s="270"/>
      <c r="AB261" s="272" t="str">
        <f t="shared" ref="AB261:AB324" si="14">B261&amp;C261</f>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2"/>
        <v/>
      </c>
      <c r="T262" s="224" t="str">
        <f ca="1">IF(B262="","",IF(ISERROR(MATCH($J262,SorP!$B$1:$B$6230,0)),"",INDIRECT("'SorP'!$A$"&amp;MATCH($J262,SorP!$B$1:$B$6230,0))))</f>
        <v/>
      </c>
      <c r="U262" s="239"/>
      <c r="V262" s="269" t="e">
        <f>IF(C262="",NA(),MATCH($B262&amp;$C262,'Smelter Look-up'!$J:$J,0))</f>
        <v>#N/A</v>
      </c>
      <c r="W262" s="270"/>
      <c r="X262" s="270">
        <f t="shared" ca="1" si="13"/>
        <v>0</v>
      </c>
      <c r="Y262" s="270"/>
      <c r="Z262" s="270"/>
      <c r="AB262" s="272" t="str">
        <f t="shared" si="14"/>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2"/>
        <v/>
      </c>
      <c r="T263" s="224" t="str">
        <f ca="1">IF(B263="","",IF(ISERROR(MATCH($J263,SorP!$B$1:$B$6230,0)),"",INDIRECT("'SorP'!$A$"&amp;MATCH($J263,SorP!$B$1:$B$6230,0))))</f>
        <v/>
      </c>
      <c r="U263" s="239"/>
      <c r="V263" s="269" t="e">
        <f>IF(C263="",NA(),MATCH($B263&amp;$C263,'Smelter Look-up'!$J:$J,0))</f>
        <v>#N/A</v>
      </c>
      <c r="W263" s="270"/>
      <c r="X263" s="270">
        <f t="shared" ca="1" si="13"/>
        <v>0</v>
      </c>
      <c r="Y263" s="270"/>
      <c r="Z263" s="270"/>
      <c r="AB263" s="272" t="str">
        <f t="shared" si="14"/>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2"/>
        <v/>
      </c>
      <c r="T264" s="224" t="str">
        <f ca="1">IF(B264="","",IF(ISERROR(MATCH($J264,SorP!$B$1:$B$6230,0)),"",INDIRECT("'SorP'!$A$"&amp;MATCH($J264,SorP!$B$1:$B$6230,0))))</f>
        <v/>
      </c>
      <c r="U264" s="239"/>
      <c r="V264" s="269" t="e">
        <f>IF(C264="",NA(),MATCH($B264&amp;$C264,'Smelter Look-up'!$J:$J,0))</f>
        <v>#N/A</v>
      </c>
      <c r="W264" s="270"/>
      <c r="X264" s="270">
        <f t="shared" ca="1" si="13"/>
        <v>0</v>
      </c>
      <c r="Y264" s="270"/>
      <c r="Z264" s="270"/>
      <c r="AB264" s="272" t="str">
        <f t="shared" si="14"/>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2"/>
        <v/>
      </c>
      <c r="T265" s="224" t="str">
        <f ca="1">IF(B265="","",IF(ISERROR(MATCH($J265,SorP!$B$1:$B$6230,0)),"",INDIRECT("'SorP'!$A$"&amp;MATCH($J265,SorP!$B$1:$B$6230,0))))</f>
        <v/>
      </c>
      <c r="U265" s="239"/>
      <c r="V265" s="269" t="e">
        <f>IF(C265="",NA(),MATCH($B265&amp;$C265,'Smelter Look-up'!$J:$J,0))</f>
        <v>#N/A</v>
      </c>
      <c r="W265" s="270"/>
      <c r="X265" s="270">
        <f t="shared" ca="1" si="13"/>
        <v>0</v>
      </c>
      <c r="Y265" s="270"/>
      <c r="Z265" s="270"/>
      <c r="AB265" s="272" t="str">
        <f t="shared" si="14"/>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2"/>
        <v/>
      </c>
      <c r="T266" s="224" t="str">
        <f ca="1">IF(B266="","",IF(ISERROR(MATCH($J266,SorP!$B$1:$B$6230,0)),"",INDIRECT("'SorP'!$A$"&amp;MATCH($J266,SorP!$B$1:$B$6230,0))))</f>
        <v/>
      </c>
      <c r="U266" s="239"/>
      <c r="V266" s="269" t="e">
        <f>IF(C266="",NA(),MATCH($B266&amp;$C266,'Smelter Look-up'!$J:$J,0))</f>
        <v>#N/A</v>
      </c>
      <c r="W266" s="270"/>
      <c r="X266" s="270">
        <f t="shared" ca="1" si="13"/>
        <v>0</v>
      </c>
      <c r="Y266" s="270"/>
      <c r="Z266" s="270"/>
      <c r="AB266" s="272" t="str">
        <f t="shared" si="14"/>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2"/>
        <v/>
      </c>
      <c r="T267" s="224" t="str">
        <f ca="1">IF(B267="","",IF(ISERROR(MATCH($J267,SorP!$B$1:$B$6230,0)),"",INDIRECT("'SorP'!$A$"&amp;MATCH($J267,SorP!$B$1:$B$6230,0))))</f>
        <v/>
      </c>
      <c r="U267" s="239"/>
      <c r="V267" s="269" t="e">
        <f>IF(C267="",NA(),MATCH($B267&amp;$C267,'Smelter Look-up'!$J:$J,0))</f>
        <v>#N/A</v>
      </c>
      <c r="W267" s="270"/>
      <c r="X267" s="270">
        <f t="shared" ca="1" si="13"/>
        <v>0</v>
      </c>
      <c r="Y267" s="270"/>
      <c r="Z267" s="270"/>
      <c r="AB267" s="272" t="str">
        <f t="shared" si="14"/>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2"/>
        <v/>
      </c>
      <c r="T268" s="224" t="str">
        <f ca="1">IF(B268="","",IF(ISERROR(MATCH($J268,SorP!$B$1:$B$6230,0)),"",INDIRECT("'SorP'!$A$"&amp;MATCH($J268,SorP!$B$1:$B$6230,0))))</f>
        <v/>
      </c>
      <c r="U268" s="239"/>
      <c r="V268" s="269" t="e">
        <f>IF(C268="",NA(),MATCH($B268&amp;$C268,'Smelter Look-up'!$J:$J,0))</f>
        <v>#N/A</v>
      </c>
      <c r="W268" s="270"/>
      <c r="X268" s="270">
        <f t="shared" ca="1" si="13"/>
        <v>0</v>
      </c>
      <c r="Y268" s="270"/>
      <c r="Z268" s="270"/>
      <c r="AB268" s="272" t="str">
        <f t="shared" si="14"/>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2"/>
        <v/>
      </c>
      <c r="T269" s="224" t="str">
        <f ca="1">IF(B269="","",IF(ISERROR(MATCH($J269,SorP!$B$1:$B$6230,0)),"",INDIRECT("'SorP'!$A$"&amp;MATCH($J269,SorP!$B$1:$B$6230,0))))</f>
        <v/>
      </c>
      <c r="U269" s="239"/>
      <c r="V269" s="269" t="e">
        <f>IF(C269="",NA(),MATCH($B269&amp;$C269,'Smelter Look-up'!$J:$J,0))</f>
        <v>#N/A</v>
      </c>
      <c r="W269" s="270"/>
      <c r="X269" s="270">
        <f t="shared" ca="1" si="13"/>
        <v>0</v>
      </c>
      <c r="Y269" s="270"/>
      <c r="Z269" s="270"/>
      <c r="AB269" s="272" t="str">
        <f t="shared" si="14"/>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2"/>
        <v/>
      </c>
      <c r="T270" s="224" t="str">
        <f ca="1">IF(B270="","",IF(ISERROR(MATCH($J270,SorP!$B$1:$B$6230,0)),"",INDIRECT("'SorP'!$A$"&amp;MATCH($J270,SorP!$B$1:$B$6230,0))))</f>
        <v/>
      </c>
      <c r="U270" s="239"/>
      <c r="V270" s="269" t="e">
        <f>IF(C270="",NA(),MATCH($B270&amp;$C270,'Smelter Look-up'!$J:$J,0))</f>
        <v>#N/A</v>
      </c>
      <c r="W270" s="270"/>
      <c r="X270" s="270">
        <f t="shared" ca="1" si="13"/>
        <v>0</v>
      </c>
      <c r="Y270" s="270"/>
      <c r="Z270" s="270"/>
      <c r="AB270" s="272" t="str">
        <f t="shared" si="14"/>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2"/>
        <v/>
      </c>
      <c r="T271" s="224" t="str">
        <f ca="1">IF(B271="","",IF(ISERROR(MATCH($J271,SorP!$B$1:$B$6230,0)),"",INDIRECT("'SorP'!$A$"&amp;MATCH($J271,SorP!$B$1:$B$6230,0))))</f>
        <v/>
      </c>
      <c r="U271" s="239"/>
      <c r="V271" s="269" t="e">
        <f>IF(C271="",NA(),MATCH($B271&amp;$C271,'Smelter Look-up'!$J:$J,0))</f>
        <v>#N/A</v>
      </c>
      <c r="W271" s="270"/>
      <c r="X271" s="270">
        <f t="shared" ca="1" si="13"/>
        <v>0</v>
      </c>
      <c r="Y271" s="270"/>
      <c r="Z271" s="270"/>
      <c r="AB271" s="272" t="str">
        <f t="shared" si="14"/>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2"/>
        <v/>
      </c>
      <c r="T272" s="224" t="str">
        <f ca="1">IF(B272="","",IF(ISERROR(MATCH($J272,SorP!$B$1:$B$6230,0)),"",INDIRECT("'SorP'!$A$"&amp;MATCH($J272,SorP!$B$1:$B$6230,0))))</f>
        <v/>
      </c>
      <c r="U272" s="239"/>
      <c r="V272" s="269" t="e">
        <f>IF(C272="",NA(),MATCH($B272&amp;$C272,'Smelter Look-up'!$J:$J,0))</f>
        <v>#N/A</v>
      </c>
      <c r="W272" s="270"/>
      <c r="X272" s="270">
        <f t="shared" ca="1" si="13"/>
        <v>0</v>
      </c>
      <c r="Y272" s="270"/>
      <c r="Z272" s="270"/>
      <c r="AB272" s="272" t="str">
        <f t="shared" si="14"/>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2"/>
        <v/>
      </c>
      <c r="T273" s="224" t="str">
        <f ca="1">IF(B273="","",IF(ISERROR(MATCH($J273,SorP!$B$1:$B$6230,0)),"",INDIRECT("'SorP'!$A$"&amp;MATCH($J273,SorP!$B$1:$B$6230,0))))</f>
        <v/>
      </c>
      <c r="U273" s="239"/>
      <c r="V273" s="269" t="e">
        <f>IF(C273="",NA(),MATCH($B273&amp;$C273,'Smelter Look-up'!$J:$J,0))</f>
        <v>#N/A</v>
      </c>
      <c r="W273" s="270"/>
      <c r="X273" s="270">
        <f t="shared" ca="1" si="13"/>
        <v>0</v>
      </c>
      <c r="Y273" s="270"/>
      <c r="Z273" s="270"/>
      <c r="AB273" s="272" t="str">
        <f t="shared" si="14"/>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2"/>
        <v/>
      </c>
      <c r="T274" s="224" t="str">
        <f ca="1">IF(B274="","",IF(ISERROR(MATCH($J274,SorP!$B$1:$B$6230,0)),"",INDIRECT("'SorP'!$A$"&amp;MATCH($J274,SorP!$B$1:$B$6230,0))))</f>
        <v/>
      </c>
      <c r="U274" s="239"/>
      <c r="V274" s="269" t="e">
        <f>IF(C274="",NA(),MATCH($B274&amp;$C274,'Smelter Look-up'!$J:$J,0))</f>
        <v>#N/A</v>
      </c>
      <c r="W274" s="270"/>
      <c r="X274" s="270">
        <f t="shared" ca="1" si="13"/>
        <v>0</v>
      </c>
      <c r="Y274" s="270"/>
      <c r="Z274" s="270"/>
      <c r="AB274" s="272" t="str">
        <f t="shared" si="14"/>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2"/>
        <v/>
      </c>
      <c r="T275" s="224" t="str">
        <f ca="1">IF(B275="","",IF(ISERROR(MATCH($J275,SorP!$B$1:$B$6230,0)),"",INDIRECT("'SorP'!$A$"&amp;MATCH($J275,SorP!$B$1:$B$6230,0))))</f>
        <v/>
      </c>
      <c r="U275" s="239"/>
      <c r="V275" s="269" t="e">
        <f>IF(C275="",NA(),MATCH($B275&amp;$C275,'Smelter Look-up'!$J:$J,0))</f>
        <v>#N/A</v>
      </c>
      <c r="W275" s="270"/>
      <c r="X275" s="270">
        <f t="shared" ca="1" si="13"/>
        <v>0</v>
      </c>
      <c r="Y275" s="270"/>
      <c r="Z275" s="270"/>
      <c r="AB275" s="272" t="str">
        <f t="shared" si="14"/>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2"/>
        <v/>
      </c>
      <c r="T276" s="224" t="str">
        <f ca="1">IF(B276="","",IF(ISERROR(MATCH($J276,SorP!$B$1:$B$6230,0)),"",INDIRECT("'SorP'!$A$"&amp;MATCH($J276,SorP!$B$1:$B$6230,0))))</f>
        <v/>
      </c>
      <c r="U276" s="239"/>
      <c r="V276" s="269" t="e">
        <f>IF(C276="",NA(),MATCH($B276&amp;$C276,'Smelter Look-up'!$J:$J,0))</f>
        <v>#N/A</v>
      </c>
      <c r="W276" s="270"/>
      <c r="X276" s="270">
        <f t="shared" ca="1" si="13"/>
        <v>0</v>
      </c>
      <c r="Y276" s="270"/>
      <c r="Z276" s="270"/>
      <c r="AB276" s="272" t="str">
        <f t="shared" si="14"/>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2"/>
        <v/>
      </c>
      <c r="T277" s="224" t="str">
        <f ca="1">IF(B277="","",IF(ISERROR(MATCH($J277,SorP!$B$1:$B$6230,0)),"",INDIRECT("'SorP'!$A$"&amp;MATCH($J277,SorP!$B$1:$B$6230,0))))</f>
        <v/>
      </c>
      <c r="U277" s="239"/>
      <c r="V277" s="269" t="e">
        <f>IF(C277="",NA(),MATCH($B277&amp;$C277,'Smelter Look-up'!$J:$J,0))</f>
        <v>#N/A</v>
      </c>
      <c r="W277" s="270"/>
      <c r="X277" s="270">
        <f t="shared" ca="1" si="13"/>
        <v>0</v>
      </c>
      <c r="Y277" s="270"/>
      <c r="Z277" s="270"/>
      <c r="AB277" s="272" t="str">
        <f t="shared" si="14"/>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2"/>
        <v/>
      </c>
      <c r="T278" s="224" t="str">
        <f ca="1">IF(B278="","",IF(ISERROR(MATCH($J278,SorP!$B$1:$B$6230,0)),"",INDIRECT("'SorP'!$A$"&amp;MATCH($J278,SorP!$B$1:$B$6230,0))))</f>
        <v/>
      </c>
      <c r="U278" s="239"/>
      <c r="V278" s="269" t="e">
        <f>IF(C278="",NA(),MATCH($B278&amp;$C278,'Smelter Look-up'!$J:$J,0))</f>
        <v>#N/A</v>
      </c>
      <c r="W278" s="270"/>
      <c r="X278" s="270">
        <f t="shared" ca="1" si="13"/>
        <v>0</v>
      </c>
      <c r="Y278" s="270"/>
      <c r="Z278" s="270"/>
      <c r="AB278" s="272" t="str">
        <f t="shared" si="14"/>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2"/>
        <v/>
      </c>
      <c r="T279" s="224" t="str">
        <f ca="1">IF(B279="","",IF(ISERROR(MATCH($J279,SorP!$B$1:$B$6230,0)),"",INDIRECT("'SorP'!$A$"&amp;MATCH($J279,SorP!$B$1:$B$6230,0))))</f>
        <v/>
      </c>
      <c r="U279" s="239"/>
      <c r="V279" s="269" t="e">
        <f>IF(C279="",NA(),MATCH($B279&amp;$C279,'Smelter Look-up'!$J:$J,0))</f>
        <v>#N/A</v>
      </c>
      <c r="W279" s="270"/>
      <c r="X279" s="270">
        <f t="shared" ca="1" si="13"/>
        <v>0</v>
      </c>
      <c r="Y279" s="270"/>
      <c r="Z279" s="270"/>
      <c r="AB279" s="272" t="str">
        <f t="shared" si="14"/>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2"/>
        <v/>
      </c>
      <c r="T280" s="224" t="str">
        <f ca="1">IF(B280="","",IF(ISERROR(MATCH($J280,SorP!$B$1:$B$6230,0)),"",INDIRECT("'SorP'!$A$"&amp;MATCH($J280,SorP!$B$1:$B$6230,0))))</f>
        <v/>
      </c>
      <c r="U280" s="239"/>
      <c r="V280" s="269" t="e">
        <f>IF(C280="",NA(),MATCH($B280&amp;$C280,'Smelter Look-up'!$J:$J,0))</f>
        <v>#N/A</v>
      </c>
      <c r="W280" s="270"/>
      <c r="X280" s="270">
        <f t="shared" ca="1" si="13"/>
        <v>0</v>
      </c>
      <c r="Y280" s="270"/>
      <c r="Z280" s="270"/>
      <c r="AB280" s="272" t="str">
        <f t="shared" si="14"/>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2"/>
        <v/>
      </c>
      <c r="T281" s="224" t="str">
        <f ca="1">IF(B281="","",IF(ISERROR(MATCH($J281,SorP!$B$1:$B$6230,0)),"",INDIRECT("'SorP'!$A$"&amp;MATCH($J281,SorP!$B$1:$B$6230,0))))</f>
        <v/>
      </c>
      <c r="U281" s="239"/>
      <c r="V281" s="269" t="e">
        <f>IF(C281="",NA(),MATCH($B281&amp;$C281,'Smelter Look-up'!$J:$J,0))</f>
        <v>#N/A</v>
      </c>
      <c r="W281" s="270"/>
      <c r="X281" s="270">
        <f t="shared" ca="1" si="13"/>
        <v>0</v>
      </c>
      <c r="Y281" s="270"/>
      <c r="Z281" s="270"/>
      <c r="AB281" s="272" t="str">
        <f t="shared" si="14"/>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2"/>
        <v/>
      </c>
      <c r="T282" s="224" t="str">
        <f ca="1">IF(B282="","",IF(ISERROR(MATCH($J282,SorP!$B$1:$B$6230,0)),"",INDIRECT("'SorP'!$A$"&amp;MATCH($J282,SorP!$B$1:$B$6230,0))))</f>
        <v/>
      </c>
      <c r="U282" s="239"/>
      <c r="V282" s="269" t="e">
        <f>IF(C282="",NA(),MATCH($B282&amp;$C282,'Smelter Look-up'!$J:$J,0))</f>
        <v>#N/A</v>
      </c>
      <c r="W282" s="270"/>
      <c r="X282" s="270">
        <f t="shared" ca="1" si="13"/>
        <v>0</v>
      </c>
      <c r="Y282" s="270"/>
      <c r="Z282" s="270"/>
      <c r="AB282" s="272" t="str">
        <f t="shared" si="14"/>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2"/>
        <v/>
      </c>
      <c r="T283" s="224" t="str">
        <f ca="1">IF(B283="","",IF(ISERROR(MATCH($J283,SorP!$B$1:$B$6230,0)),"",INDIRECT("'SorP'!$A$"&amp;MATCH($J283,SorP!$B$1:$B$6230,0))))</f>
        <v/>
      </c>
      <c r="U283" s="239"/>
      <c r="V283" s="269" t="e">
        <f>IF(C283="",NA(),MATCH($B283&amp;$C283,'Smelter Look-up'!$J:$J,0))</f>
        <v>#N/A</v>
      </c>
      <c r="W283" s="270"/>
      <c r="X283" s="270">
        <f t="shared" ca="1" si="13"/>
        <v>0</v>
      </c>
      <c r="Y283" s="270"/>
      <c r="Z283" s="270"/>
      <c r="AB283" s="272" t="str">
        <f t="shared" si="14"/>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2"/>
        <v/>
      </c>
      <c r="T284" s="224" t="str">
        <f ca="1">IF(B284="","",IF(ISERROR(MATCH($J284,SorP!$B$1:$B$6230,0)),"",INDIRECT("'SorP'!$A$"&amp;MATCH($J284,SorP!$B$1:$B$6230,0))))</f>
        <v/>
      </c>
      <c r="U284" s="239"/>
      <c r="V284" s="269" t="e">
        <f>IF(C284="",NA(),MATCH($B284&amp;$C284,'Smelter Look-up'!$J:$J,0))</f>
        <v>#N/A</v>
      </c>
      <c r="W284" s="270"/>
      <c r="X284" s="270">
        <f t="shared" ca="1" si="13"/>
        <v>0</v>
      </c>
      <c r="Y284" s="270"/>
      <c r="Z284" s="270"/>
      <c r="AB284" s="272" t="str">
        <f t="shared" si="14"/>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
      </c>
      <c r="T285" s="224" t="str">
        <f ca="1">IF(B285="","",IF(ISERROR(MATCH($J285,SorP!$B$1:$B$6230,0)),"",INDIRECT("'SorP'!$A$"&amp;MATCH($J285,SorP!$B$1:$B$6230,0))))</f>
        <v/>
      </c>
      <c r="U285" s="239"/>
      <c r="V285" s="269" t="e">
        <f>IF(C285="",NA(),MATCH($B285&amp;$C285,'Smelter Look-up'!$J:$J,0))</f>
        <v>#N/A</v>
      </c>
      <c r="W285" s="270"/>
      <c r="X285" s="270">
        <f t="shared" ca="1" si="13"/>
        <v>0</v>
      </c>
      <c r="Y285" s="270"/>
      <c r="Z285" s="270"/>
      <c r="AB285" s="272" t="str">
        <f t="shared" si="14"/>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2"/>
        <v/>
      </c>
      <c r="T286" s="224" t="str">
        <f ca="1">IF(B286="","",IF(ISERROR(MATCH($J286,SorP!$B$1:$B$6230,0)),"",INDIRECT("'SorP'!$A$"&amp;MATCH($J286,SorP!$B$1:$B$6230,0))))</f>
        <v/>
      </c>
      <c r="U286" s="239"/>
      <c r="V286" s="269" t="e">
        <f>IF(C286="",NA(),MATCH($B286&amp;$C286,'Smelter Look-up'!$J:$J,0))</f>
        <v>#N/A</v>
      </c>
      <c r="W286" s="270"/>
      <c r="X286" s="270">
        <f t="shared" ca="1" si="13"/>
        <v>0</v>
      </c>
      <c r="Y286" s="270"/>
      <c r="Z286" s="270"/>
      <c r="AB286" s="272" t="str">
        <f t="shared" si="14"/>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2"/>
        <v/>
      </c>
      <c r="T287" s="224" t="str">
        <f ca="1">IF(B287="","",IF(ISERROR(MATCH($J287,SorP!$B$1:$B$6230,0)),"",INDIRECT("'SorP'!$A$"&amp;MATCH($J287,SorP!$B$1:$B$6230,0))))</f>
        <v/>
      </c>
      <c r="U287" s="239"/>
      <c r="V287" s="269" t="e">
        <f>IF(C287="",NA(),MATCH($B287&amp;$C287,'Smelter Look-up'!$J:$J,0))</f>
        <v>#N/A</v>
      </c>
      <c r="W287" s="270"/>
      <c r="X287" s="270">
        <f t="shared" ca="1" si="13"/>
        <v>0</v>
      </c>
      <c r="Y287" s="270"/>
      <c r="Z287" s="270"/>
      <c r="AB287" s="272" t="str">
        <f t="shared" si="14"/>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2"/>
        <v/>
      </c>
      <c r="T288" s="224" t="str">
        <f ca="1">IF(B288="","",IF(ISERROR(MATCH($J288,SorP!$B$1:$B$6230,0)),"",INDIRECT("'SorP'!$A$"&amp;MATCH($J288,SorP!$B$1:$B$6230,0))))</f>
        <v/>
      </c>
      <c r="U288" s="239"/>
      <c r="V288" s="269" t="e">
        <f>IF(C288="",NA(),MATCH($B288&amp;$C288,'Smelter Look-up'!$J:$J,0))</f>
        <v>#N/A</v>
      </c>
      <c r="W288" s="270"/>
      <c r="X288" s="270">
        <f t="shared" ca="1" si="13"/>
        <v>0</v>
      </c>
      <c r="Y288" s="270"/>
      <c r="Z288" s="270"/>
      <c r="AB288" s="272" t="str">
        <f t="shared" si="14"/>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2"/>
        <v/>
      </c>
      <c r="T289" s="224" t="str">
        <f ca="1">IF(B289="","",IF(ISERROR(MATCH($J289,SorP!$B$1:$B$6230,0)),"",INDIRECT("'SorP'!$A$"&amp;MATCH($J289,SorP!$B$1:$B$6230,0))))</f>
        <v/>
      </c>
      <c r="U289" s="239"/>
      <c r="V289" s="269" t="e">
        <f>IF(C289="",NA(),MATCH($B289&amp;$C289,'Smelter Look-up'!$J:$J,0))</f>
        <v>#N/A</v>
      </c>
      <c r="W289" s="270"/>
      <c r="X289" s="270">
        <f t="shared" ca="1" si="13"/>
        <v>0</v>
      </c>
      <c r="Y289" s="270"/>
      <c r="Z289" s="270"/>
      <c r="AB289" s="272" t="str">
        <f t="shared" si="14"/>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2"/>
        <v/>
      </c>
      <c r="T290" s="224" t="str">
        <f ca="1">IF(B290="","",IF(ISERROR(MATCH($J290,SorP!$B$1:$B$6230,0)),"",INDIRECT("'SorP'!$A$"&amp;MATCH($J290,SorP!$B$1:$B$6230,0))))</f>
        <v/>
      </c>
      <c r="U290" s="239"/>
      <c r="V290" s="269" t="e">
        <f>IF(C290="",NA(),MATCH($B290&amp;$C290,'Smelter Look-up'!$J:$J,0))</f>
        <v>#N/A</v>
      </c>
      <c r="W290" s="270"/>
      <c r="X290" s="270">
        <f t="shared" ca="1" si="13"/>
        <v>0</v>
      </c>
      <c r="Y290" s="270"/>
      <c r="Z290" s="270"/>
      <c r="AB290" s="272" t="str">
        <f t="shared" si="14"/>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2"/>
        <v/>
      </c>
      <c r="T291" s="224" t="str">
        <f ca="1">IF(B291="","",IF(ISERROR(MATCH($J291,SorP!$B$1:$B$6230,0)),"",INDIRECT("'SorP'!$A$"&amp;MATCH($J291,SorP!$B$1:$B$6230,0))))</f>
        <v/>
      </c>
      <c r="U291" s="239"/>
      <c r="V291" s="269" t="e">
        <f>IF(C291="",NA(),MATCH($B291&amp;$C291,'Smelter Look-up'!$J:$J,0))</f>
        <v>#N/A</v>
      </c>
      <c r="W291" s="270"/>
      <c r="X291" s="270">
        <f t="shared" ca="1" si="13"/>
        <v>0</v>
      </c>
      <c r="Y291" s="270"/>
      <c r="Z291" s="270"/>
      <c r="AB291" s="272" t="str">
        <f t="shared" si="14"/>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2"/>
        <v/>
      </c>
      <c r="T292" s="224" t="str">
        <f ca="1">IF(B292="","",IF(ISERROR(MATCH($J292,SorP!$B$1:$B$6230,0)),"",INDIRECT("'SorP'!$A$"&amp;MATCH($J292,SorP!$B$1:$B$6230,0))))</f>
        <v/>
      </c>
      <c r="U292" s="239"/>
      <c r="V292" s="269" t="e">
        <f>IF(C292="",NA(),MATCH($B292&amp;$C292,'Smelter Look-up'!$J:$J,0))</f>
        <v>#N/A</v>
      </c>
      <c r="W292" s="270"/>
      <c r="X292" s="270">
        <f t="shared" ca="1" si="13"/>
        <v>0</v>
      </c>
      <c r="Y292" s="270"/>
      <c r="Z292" s="270"/>
      <c r="AB292" s="272" t="str">
        <f t="shared" si="14"/>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2"/>
        <v/>
      </c>
      <c r="T293" s="224" t="str">
        <f ca="1">IF(B293="","",IF(ISERROR(MATCH($J293,SorP!$B$1:$B$6230,0)),"",INDIRECT("'SorP'!$A$"&amp;MATCH($J293,SorP!$B$1:$B$6230,0))))</f>
        <v/>
      </c>
      <c r="U293" s="239"/>
      <c r="V293" s="269" t="e">
        <f>IF(C293="",NA(),MATCH($B293&amp;$C293,'Smelter Look-up'!$J:$J,0))</f>
        <v>#N/A</v>
      </c>
      <c r="W293" s="270"/>
      <c r="X293" s="270">
        <f t="shared" ca="1" si="13"/>
        <v>0</v>
      </c>
      <c r="Y293" s="270"/>
      <c r="Z293" s="270"/>
      <c r="AB293" s="272" t="str">
        <f t="shared" si="14"/>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2"/>
        <v/>
      </c>
      <c r="T294" s="224" t="str">
        <f ca="1">IF(B294="","",IF(ISERROR(MATCH($J294,SorP!$B$1:$B$6230,0)),"",INDIRECT("'SorP'!$A$"&amp;MATCH($J294,SorP!$B$1:$B$6230,0))))</f>
        <v/>
      </c>
      <c r="U294" s="239"/>
      <c r="V294" s="269" t="e">
        <f>IF(C294="",NA(),MATCH($B294&amp;$C294,'Smelter Look-up'!$J:$J,0))</f>
        <v>#N/A</v>
      </c>
      <c r="W294" s="270"/>
      <c r="X294" s="270">
        <f t="shared" ca="1" si="13"/>
        <v>0</v>
      </c>
      <c r="Y294" s="270"/>
      <c r="Z294" s="270"/>
      <c r="AB294" s="272" t="str">
        <f t="shared" si="14"/>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2"/>
        <v/>
      </c>
      <c r="T295" s="224" t="str">
        <f ca="1">IF(B295="","",IF(ISERROR(MATCH($J295,SorP!$B$1:$B$6230,0)),"",INDIRECT("'SorP'!$A$"&amp;MATCH($J295,SorP!$B$1:$B$6230,0))))</f>
        <v/>
      </c>
      <c r="U295" s="239"/>
      <c r="V295" s="269" t="e">
        <f>IF(C295="",NA(),MATCH($B295&amp;$C295,'Smelter Look-up'!$J:$J,0))</f>
        <v>#N/A</v>
      </c>
      <c r="W295" s="270"/>
      <c r="X295" s="270">
        <f t="shared" ca="1" si="13"/>
        <v>0</v>
      </c>
      <c r="Y295" s="270"/>
      <c r="Z295" s="270"/>
      <c r="AB295" s="272" t="str">
        <f t="shared" si="14"/>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2"/>
        <v/>
      </c>
      <c r="T296" s="224" t="str">
        <f ca="1">IF(B296="","",IF(ISERROR(MATCH($J296,SorP!$B$1:$B$6230,0)),"",INDIRECT("'SorP'!$A$"&amp;MATCH($J296,SorP!$B$1:$B$6230,0))))</f>
        <v/>
      </c>
      <c r="U296" s="239"/>
      <c r="V296" s="269" t="e">
        <f>IF(C296="",NA(),MATCH($B296&amp;$C296,'Smelter Look-up'!$J:$J,0))</f>
        <v>#N/A</v>
      </c>
      <c r="W296" s="270"/>
      <c r="X296" s="270">
        <f t="shared" ca="1" si="13"/>
        <v>0</v>
      </c>
      <c r="Y296" s="270"/>
      <c r="Z296" s="270"/>
      <c r="AB296" s="272" t="str">
        <f t="shared" si="14"/>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2"/>
        <v/>
      </c>
      <c r="T297" s="224" t="str">
        <f ca="1">IF(B297="","",IF(ISERROR(MATCH($J297,SorP!$B$1:$B$6230,0)),"",INDIRECT("'SorP'!$A$"&amp;MATCH($J297,SorP!$B$1:$B$6230,0))))</f>
        <v/>
      </c>
      <c r="U297" s="239"/>
      <c r="V297" s="269" t="e">
        <f>IF(C297="",NA(),MATCH($B297&amp;$C297,'Smelter Look-up'!$J:$J,0))</f>
        <v>#N/A</v>
      </c>
      <c r="W297" s="270"/>
      <c r="X297" s="270">
        <f t="shared" ca="1" si="13"/>
        <v>0</v>
      </c>
      <c r="Y297" s="270"/>
      <c r="Z297" s="270"/>
      <c r="AB297" s="272" t="str">
        <f t="shared" si="14"/>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2"/>
        <v/>
      </c>
      <c r="T298" s="224" t="str">
        <f ca="1">IF(B298="","",IF(ISERROR(MATCH($J298,SorP!$B$1:$B$6230,0)),"",INDIRECT("'SorP'!$A$"&amp;MATCH($J298,SorP!$B$1:$B$6230,0))))</f>
        <v/>
      </c>
      <c r="U298" s="239"/>
      <c r="V298" s="269" t="e">
        <f>IF(C298="",NA(),MATCH($B298&amp;$C298,'Smelter Look-up'!$J:$J,0))</f>
        <v>#N/A</v>
      </c>
      <c r="W298" s="270"/>
      <c r="X298" s="270">
        <f t="shared" ca="1" si="13"/>
        <v>0</v>
      </c>
      <c r="Y298" s="270"/>
      <c r="Z298" s="270"/>
      <c r="AB298" s="272" t="str">
        <f t="shared" si="14"/>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2"/>
        <v/>
      </c>
      <c r="T299" s="224" t="str">
        <f ca="1">IF(B299="","",IF(ISERROR(MATCH($J299,SorP!$B$1:$B$6230,0)),"",INDIRECT("'SorP'!$A$"&amp;MATCH($J299,SorP!$B$1:$B$6230,0))))</f>
        <v/>
      </c>
      <c r="U299" s="239"/>
      <c r="V299" s="269" t="e">
        <f>IF(C299="",NA(),MATCH($B299&amp;$C299,'Smelter Look-up'!$J:$J,0))</f>
        <v>#N/A</v>
      </c>
      <c r="W299" s="270"/>
      <c r="X299" s="270">
        <f t="shared" ca="1" si="13"/>
        <v>0</v>
      </c>
      <c r="Y299" s="270"/>
      <c r="Z299" s="270"/>
      <c r="AB299" s="272" t="str">
        <f t="shared" si="14"/>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2"/>
        <v/>
      </c>
      <c r="T300" s="224" t="str">
        <f ca="1">IF(B300="","",IF(ISERROR(MATCH($J300,SorP!$B$1:$B$6230,0)),"",INDIRECT("'SorP'!$A$"&amp;MATCH($J300,SorP!$B$1:$B$6230,0))))</f>
        <v/>
      </c>
      <c r="U300" s="239"/>
      <c r="V300" s="269" t="e">
        <f>IF(C300="",NA(),MATCH($B300&amp;$C300,'Smelter Look-up'!$J:$J,0))</f>
        <v>#N/A</v>
      </c>
      <c r="W300" s="270"/>
      <c r="X300" s="270">
        <f t="shared" ca="1" si="13"/>
        <v>0</v>
      </c>
      <c r="Y300" s="270"/>
      <c r="Z300" s="270"/>
      <c r="AB300" s="272" t="str">
        <f t="shared" si="14"/>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2"/>
        <v/>
      </c>
      <c r="T301" s="224" t="str">
        <f ca="1">IF(B301="","",IF(ISERROR(MATCH($J301,SorP!$B$1:$B$6230,0)),"",INDIRECT("'SorP'!$A$"&amp;MATCH($J301,SorP!$B$1:$B$6230,0))))</f>
        <v/>
      </c>
      <c r="U301" s="239"/>
      <c r="V301" s="269" t="e">
        <f>IF(C301="",NA(),MATCH($B301&amp;$C301,'Smelter Look-up'!$J:$J,0))</f>
        <v>#N/A</v>
      </c>
      <c r="W301" s="270"/>
      <c r="X301" s="270">
        <f t="shared" ca="1" si="13"/>
        <v>0</v>
      </c>
      <c r="Y301" s="270"/>
      <c r="Z301" s="270"/>
      <c r="AB301" s="272" t="str">
        <f t="shared" si="14"/>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2"/>
        <v/>
      </c>
      <c r="T302" s="224" t="str">
        <f ca="1">IF(B302="","",IF(ISERROR(MATCH($J302,SorP!$B$1:$B$6230,0)),"",INDIRECT("'SorP'!$A$"&amp;MATCH($J302,SorP!$B$1:$B$6230,0))))</f>
        <v/>
      </c>
      <c r="U302" s="239"/>
      <c r="V302" s="269" t="e">
        <f>IF(C302="",NA(),MATCH($B302&amp;$C302,'Smelter Look-up'!$J:$J,0))</f>
        <v>#N/A</v>
      </c>
      <c r="W302" s="270"/>
      <c r="X302" s="270">
        <f t="shared" ca="1" si="13"/>
        <v>0</v>
      </c>
      <c r="Y302" s="270"/>
      <c r="Z302" s="270"/>
      <c r="AB302" s="272" t="str">
        <f t="shared" si="14"/>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2"/>
        <v/>
      </c>
      <c r="T303" s="224" t="str">
        <f ca="1">IF(B303="","",IF(ISERROR(MATCH($J303,SorP!$B$1:$B$6230,0)),"",INDIRECT("'SorP'!$A$"&amp;MATCH($J303,SorP!$B$1:$B$6230,0))))</f>
        <v/>
      </c>
      <c r="U303" s="239"/>
      <c r="V303" s="269" t="e">
        <f>IF(C303="",NA(),MATCH($B303&amp;$C303,'Smelter Look-up'!$J:$J,0))</f>
        <v>#N/A</v>
      </c>
      <c r="W303" s="270"/>
      <c r="X303" s="270">
        <f t="shared" ca="1" si="13"/>
        <v>0</v>
      </c>
      <c r="Y303" s="270"/>
      <c r="Z303" s="270"/>
      <c r="AB303" s="272" t="str">
        <f t="shared" si="14"/>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2"/>
        <v/>
      </c>
      <c r="T304" s="224" t="str">
        <f ca="1">IF(B304="","",IF(ISERROR(MATCH($J304,SorP!$B$1:$B$6230,0)),"",INDIRECT("'SorP'!$A$"&amp;MATCH($J304,SorP!$B$1:$B$6230,0))))</f>
        <v/>
      </c>
      <c r="U304" s="239"/>
      <c r="V304" s="269" t="e">
        <f>IF(C304="",NA(),MATCH($B304&amp;$C304,'Smelter Look-up'!$J:$J,0))</f>
        <v>#N/A</v>
      </c>
      <c r="W304" s="270"/>
      <c r="X304" s="270">
        <f t="shared" ca="1" si="13"/>
        <v>0</v>
      </c>
      <c r="Y304" s="270"/>
      <c r="Z304" s="270"/>
      <c r="AB304" s="272" t="str">
        <f t="shared" si="14"/>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2"/>
        <v/>
      </c>
      <c r="T305" s="224" t="str">
        <f ca="1">IF(B305="","",IF(ISERROR(MATCH($J305,SorP!$B$1:$B$6230,0)),"",INDIRECT("'SorP'!$A$"&amp;MATCH($J305,SorP!$B$1:$B$6230,0))))</f>
        <v/>
      </c>
      <c r="U305" s="239"/>
      <c r="V305" s="269" t="e">
        <f>IF(C305="",NA(),MATCH($B305&amp;$C305,'Smelter Look-up'!$J:$J,0))</f>
        <v>#N/A</v>
      </c>
      <c r="W305" s="270"/>
      <c r="X305" s="270">
        <f t="shared" ca="1" si="13"/>
        <v>0</v>
      </c>
      <c r="Y305" s="270"/>
      <c r="Z305" s="270"/>
      <c r="AB305" s="272" t="str">
        <f t="shared" si="14"/>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2"/>
        <v/>
      </c>
      <c r="T306" s="224" t="str">
        <f ca="1">IF(B306="","",IF(ISERROR(MATCH($J306,SorP!$B$1:$B$6230,0)),"",INDIRECT("'SorP'!$A$"&amp;MATCH($J306,SorP!$B$1:$B$6230,0))))</f>
        <v/>
      </c>
      <c r="U306" s="239"/>
      <c r="V306" s="269" t="e">
        <f>IF(C306="",NA(),MATCH($B306&amp;$C306,'Smelter Look-up'!$J:$J,0))</f>
        <v>#N/A</v>
      </c>
      <c r="W306" s="270"/>
      <c r="X306" s="270">
        <f t="shared" ca="1" si="13"/>
        <v>0</v>
      </c>
      <c r="Y306" s="270"/>
      <c r="Z306" s="270"/>
      <c r="AB306" s="272" t="str">
        <f t="shared" si="14"/>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2"/>
        <v/>
      </c>
      <c r="T307" s="224" t="str">
        <f ca="1">IF(B307="","",IF(ISERROR(MATCH($J307,SorP!$B$1:$B$6230,0)),"",INDIRECT("'SorP'!$A$"&amp;MATCH($J307,SorP!$B$1:$B$6230,0))))</f>
        <v/>
      </c>
      <c r="U307" s="239"/>
      <c r="V307" s="269" t="e">
        <f>IF(C307="",NA(),MATCH($B307&amp;$C307,'Smelter Look-up'!$J:$J,0))</f>
        <v>#N/A</v>
      </c>
      <c r="W307" s="270"/>
      <c r="X307" s="270">
        <f t="shared" ca="1" si="13"/>
        <v>0</v>
      </c>
      <c r="Y307" s="270"/>
      <c r="Z307" s="270"/>
      <c r="AB307" s="272" t="str">
        <f t="shared" si="14"/>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2"/>
        <v/>
      </c>
      <c r="T308" s="224" t="str">
        <f ca="1">IF(B308="","",IF(ISERROR(MATCH($J308,SorP!$B$1:$B$6230,0)),"",INDIRECT("'SorP'!$A$"&amp;MATCH($J308,SorP!$B$1:$B$6230,0))))</f>
        <v/>
      </c>
      <c r="U308" s="239"/>
      <c r="V308" s="269" t="e">
        <f>IF(C308="",NA(),MATCH($B308&amp;$C308,'Smelter Look-up'!$J:$J,0))</f>
        <v>#N/A</v>
      </c>
      <c r="W308" s="270"/>
      <c r="X308" s="270">
        <f t="shared" ca="1" si="13"/>
        <v>0</v>
      </c>
      <c r="Y308" s="270"/>
      <c r="Z308" s="270"/>
      <c r="AB308" s="272" t="str">
        <f t="shared" si="14"/>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2"/>
        <v/>
      </c>
      <c r="T309" s="224" t="str">
        <f ca="1">IF(B309="","",IF(ISERROR(MATCH($J309,SorP!$B$1:$B$6230,0)),"",INDIRECT("'SorP'!$A$"&amp;MATCH($J309,SorP!$B$1:$B$6230,0))))</f>
        <v/>
      </c>
      <c r="U309" s="239"/>
      <c r="V309" s="269" t="e">
        <f>IF(C309="",NA(),MATCH($B309&amp;$C309,'Smelter Look-up'!$J:$J,0))</f>
        <v>#N/A</v>
      </c>
      <c r="W309" s="270"/>
      <c r="X309" s="270">
        <f t="shared" ca="1" si="13"/>
        <v>0</v>
      </c>
      <c r="Y309" s="270"/>
      <c r="Z309" s="270"/>
      <c r="AB309" s="272" t="str">
        <f t="shared" si="14"/>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2"/>
        <v/>
      </c>
      <c r="T310" s="224" t="str">
        <f ca="1">IF(B310="","",IF(ISERROR(MATCH($J310,SorP!$B$1:$B$6230,0)),"",INDIRECT("'SorP'!$A$"&amp;MATCH($J310,SorP!$B$1:$B$6230,0))))</f>
        <v/>
      </c>
      <c r="U310" s="239"/>
      <c r="V310" s="269" t="e">
        <f>IF(C310="",NA(),MATCH($B310&amp;$C310,'Smelter Look-up'!$J:$J,0))</f>
        <v>#N/A</v>
      </c>
      <c r="W310" s="270"/>
      <c r="X310" s="270">
        <f t="shared" ca="1" si="13"/>
        <v>0</v>
      </c>
      <c r="Y310" s="270"/>
      <c r="Z310" s="270"/>
      <c r="AB310" s="272" t="str">
        <f t="shared" si="14"/>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2"/>
        <v/>
      </c>
      <c r="T311" s="224" t="str">
        <f ca="1">IF(B311="","",IF(ISERROR(MATCH($J311,SorP!$B$1:$B$6230,0)),"",INDIRECT("'SorP'!$A$"&amp;MATCH($J311,SorP!$B$1:$B$6230,0))))</f>
        <v/>
      </c>
      <c r="U311" s="239"/>
      <c r="V311" s="269" t="e">
        <f>IF(C311="",NA(),MATCH($B311&amp;$C311,'Smelter Look-up'!$J:$J,0))</f>
        <v>#N/A</v>
      </c>
      <c r="W311" s="270"/>
      <c r="X311" s="270">
        <f t="shared" ca="1" si="13"/>
        <v>0</v>
      </c>
      <c r="Y311" s="270"/>
      <c r="Z311" s="270"/>
      <c r="AB311" s="272" t="str">
        <f t="shared" si="14"/>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2"/>
        <v/>
      </c>
      <c r="T312" s="224" t="str">
        <f ca="1">IF(B312="","",IF(ISERROR(MATCH($J312,SorP!$B$1:$B$6230,0)),"",INDIRECT("'SorP'!$A$"&amp;MATCH($J312,SorP!$B$1:$B$6230,0))))</f>
        <v/>
      </c>
      <c r="U312" s="239"/>
      <c r="V312" s="269" t="e">
        <f>IF(C312="",NA(),MATCH($B312&amp;$C312,'Smelter Look-up'!$J:$J,0))</f>
        <v>#N/A</v>
      </c>
      <c r="W312" s="270"/>
      <c r="X312" s="270">
        <f t="shared" ca="1" si="13"/>
        <v>0</v>
      </c>
      <c r="Y312" s="270"/>
      <c r="Z312" s="270"/>
      <c r="AB312" s="272" t="str">
        <f t="shared" si="14"/>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2"/>
        <v/>
      </c>
      <c r="T313" s="224" t="str">
        <f ca="1">IF(B313="","",IF(ISERROR(MATCH($J313,SorP!$B$1:$B$6230,0)),"",INDIRECT("'SorP'!$A$"&amp;MATCH($J313,SorP!$B$1:$B$6230,0))))</f>
        <v/>
      </c>
      <c r="U313" s="239"/>
      <c r="V313" s="269" t="e">
        <f>IF(C313="",NA(),MATCH($B313&amp;$C313,'Smelter Look-up'!$J:$J,0))</f>
        <v>#N/A</v>
      </c>
      <c r="W313" s="270"/>
      <c r="X313" s="270">
        <f t="shared" ca="1" si="13"/>
        <v>0</v>
      </c>
      <c r="Y313" s="270"/>
      <c r="Z313" s="270"/>
      <c r="AB313" s="272" t="str">
        <f t="shared" si="14"/>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2"/>
        <v/>
      </c>
      <c r="T314" s="224" t="str">
        <f ca="1">IF(B314="","",IF(ISERROR(MATCH($J314,SorP!$B$1:$B$6230,0)),"",INDIRECT("'SorP'!$A$"&amp;MATCH($J314,SorP!$B$1:$B$6230,0))))</f>
        <v/>
      </c>
      <c r="U314" s="239"/>
      <c r="V314" s="269" t="e">
        <f>IF(C314="",NA(),MATCH($B314&amp;$C314,'Smelter Look-up'!$J:$J,0))</f>
        <v>#N/A</v>
      </c>
      <c r="W314" s="270"/>
      <c r="X314" s="270">
        <f t="shared" ca="1" si="13"/>
        <v>0</v>
      </c>
      <c r="Y314" s="270"/>
      <c r="Z314" s="270"/>
      <c r="AB314" s="272" t="str">
        <f t="shared" si="14"/>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2"/>
        <v/>
      </c>
      <c r="T315" s="224" t="str">
        <f ca="1">IF(B315="","",IF(ISERROR(MATCH($J315,SorP!$B$1:$B$6230,0)),"",INDIRECT("'SorP'!$A$"&amp;MATCH($J315,SorP!$B$1:$B$6230,0))))</f>
        <v/>
      </c>
      <c r="U315" s="239"/>
      <c r="V315" s="269" t="e">
        <f>IF(C315="",NA(),MATCH($B315&amp;$C315,'Smelter Look-up'!$J:$J,0))</f>
        <v>#N/A</v>
      </c>
      <c r="W315" s="270"/>
      <c r="X315" s="270">
        <f t="shared" ca="1" si="13"/>
        <v>0</v>
      </c>
      <c r="Y315" s="270"/>
      <c r="Z315" s="270"/>
      <c r="AB315" s="272" t="str">
        <f t="shared" si="14"/>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2"/>
        <v/>
      </c>
      <c r="T316" s="224" t="str">
        <f ca="1">IF(B316="","",IF(ISERROR(MATCH($J316,SorP!$B$1:$B$6230,0)),"",INDIRECT("'SorP'!$A$"&amp;MATCH($J316,SorP!$B$1:$B$6230,0))))</f>
        <v/>
      </c>
      <c r="U316" s="239"/>
      <c r="V316" s="269" t="e">
        <f>IF(C316="",NA(),MATCH($B316&amp;$C316,'Smelter Look-up'!$J:$J,0))</f>
        <v>#N/A</v>
      </c>
      <c r="W316" s="270"/>
      <c r="X316" s="270">
        <f t="shared" ca="1" si="13"/>
        <v>0</v>
      </c>
      <c r="Y316" s="270"/>
      <c r="Z316" s="270"/>
      <c r="AB316" s="272" t="str">
        <f t="shared" si="14"/>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2"/>
        <v/>
      </c>
      <c r="T317" s="224" t="str">
        <f ca="1">IF(B317="","",IF(ISERROR(MATCH($J317,SorP!$B$1:$B$6230,0)),"",INDIRECT("'SorP'!$A$"&amp;MATCH($J317,SorP!$B$1:$B$6230,0))))</f>
        <v/>
      </c>
      <c r="U317" s="239"/>
      <c r="V317" s="269" t="e">
        <f>IF(C317="",NA(),MATCH($B317&amp;$C317,'Smelter Look-up'!$J:$J,0))</f>
        <v>#N/A</v>
      </c>
      <c r="W317" s="270"/>
      <c r="X317" s="270">
        <f t="shared" ca="1" si="13"/>
        <v>0</v>
      </c>
      <c r="Y317" s="270"/>
      <c r="Z317" s="270"/>
      <c r="AB317" s="272" t="str">
        <f t="shared" si="14"/>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2"/>
        <v/>
      </c>
      <c r="T318" s="224" t="str">
        <f ca="1">IF(B318="","",IF(ISERROR(MATCH($J318,SorP!$B$1:$B$6230,0)),"",INDIRECT("'SorP'!$A$"&amp;MATCH($J318,SorP!$B$1:$B$6230,0))))</f>
        <v/>
      </c>
      <c r="U318" s="239"/>
      <c r="V318" s="269" t="e">
        <f>IF(C318="",NA(),MATCH($B318&amp;$C318,'Smelter Look-up'!$J:$J,0))</f>
        <v>#N/A</v>
      </c>
      <c r="W318" s="270"/>
      <c r="X318" s="270">
        <f t="shared" ca="1" si="13"/>
        <v>0</v>
      </c>
      <c r="Y318" s="270"/>
      <c r="Z318" s="270"/>
      <c r="AB318" s="272" t="str">
        <f t="shared" si="14"/>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2"/>
        <v/>
      </c>
      <c r="T319" s="224" t="str">
        <f ca="1">IF(B319="","",IF(ISERROR(MATCH($J319,SorP!$B$1:$B$6230,0)),"",INDIRECT("'SorP'!$A$"&amp;MATCH($J319,SorP!$B$1:$B$6230,0))))</f>
        <v/>
      </c>
      <c r="U319" s="239"/>
      <c r="V319" s="269" t="e">
        <f>IF(C319="",NA(),MATCH($B319&amp;$C319,'Smelter Look-up'!$J:$J,0))</f>
        <v>#N/A</v>
      </c>
      <c r="W319" s="270"/>
      <c r="X319" s="270">
        <f t="shared" ca="1" si="13"/>
        <v>0</v>
      </c>
      <c r="Y319" s="270"/>
      <c r="Z319" s="270"/>
      <c r="AB319" s="272" t="str">
        <f t="shared" si="14"/>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2"/>
        <v/>
      </c>
      <c r="T320" s="224" t="str">
        <f ca="1">IF(B320="","",IF(ISERROR(MATCH($J320,SorP!$B$1:$B$6230,0)),"",INDIRECT("'SorP'!$A$"&amp;MATCH($J320,SorP!$B$1:$B$6230,0))))</f>
        <v/>
      </c>
      <c r="U320" s="239"/>
      <c r="V320" s="269" t="e">
        <f>IF(C320="",NA(),MATCH($B320&amp;$C320,'Smelter Look-up'!$J:$J,0))</f>
        <v>#N/A</v>
      </c>
      <c r="W320" s="270"/>
      <c r="X320" s="270">
        <f t="shared" ca="1" si="13"/>
        <v>0</v>
      </c>
      <c r="Y320" s="270"/>
      <c r="Z320" s="270"/>
      <c r="AB320" s="272" t="str">
        <f t="shared" si="14"/>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2"/>
        <v/>
      </c>
      <c r="T321" s="224" t="str">
        <f ca="1">IF(B321="","",IF(ISERROR(MATCH($J321,SorP!$B$1:$B$6230,0)),"",INDIRECT("'SorP'!$A$"&amp;MATCH($J321,SorP!$B$1:$B$6230,0))))</f>
        <v/>
      </c>
      <c r="U321" s="239"/>
      <c r="V321" s="269" t="e">
        <f>IF(C321="",NA(),MATCH($B321&amp;$C321,'Smelter Look-up'!$J:$J,0))</f>
        <v>#N/A</v>
      </c>
      <c r="W321" s="270"/>
      <c r="X321" s="270">
        <f t="shared" ca="1" si="13"/>
        <v>0</v>
      </c>
      <c r="Y321" s="270"/>
      <c r="Z321" s="270"/>
      <c r="AB321" s="272" t="str">
        <f t="shared" si="14"/>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2"/>
        <v/>
      </c>
      <c r="T322" s="224" t="str">
        <f ca="1">IF(B322="","",IF(ISERROR(MATCH($J322,SorP!$B$1:$B$6230,0)),"",INDIRECT("'SorP'!$A$"&amp;MATCH($J322,SorP!$B$1:$B$6230,0))))</f>
        <v/>
      </c>
      <c r="U322" s="239"/>
      <c r="V322" s="269" t="e">
        <f>IF(C322="",NA(),MATCH($B322&amp;$C322,'Smelter Look-up'!$J:$J,0))</f>
        <v>#N/A</v>
      </c>
      <c r="W322" s="270"/>
      <c r="X322" s="270">
        <f t="shared" ca="1" si="13"/>
        <v>0</v>
      </c>
      <c r="Y322" s="270"/>
      <c r="Z322" s="270"/>
      <c r="AB322" s="272" t="str">
        <f t="shared" si="14"/>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2"/>
        <v/>
      </c>
      <c r="T323" s="224" t="str">
        <f ca="1">IF(B323="","",IF(ISERROR(MATCH($J323,SorP!$B$1:$B$6230,0)),"",INDIRECT("'SorP'!$A$"&amp;MATCH($J323,SorP!$B$1:$B$6230,0))))</f>
        <v/>
      </c>
      <c r="U323" s="239"/>
      <c r="V323" s="269" t="e">
        <f>IF(C323="",NA(),MATCH($B323&amp;$C323,'Smelter Look-up'!$J:$J,0))</f>
        <v>#N/A</v>
      </c>
      <c r="W323" s="270"/>
      <c r="X323" s="270">
        <f t="shared" ca="1" si="13"/>
        <v>0</v>
      </c>
      <c r="Y323" s="270"/>
      <c r="Z323" s="270"/>
      <c r="AB323" s="272" t="str">
        <f t="shared" si="14"/>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2"/>
        <v/>
      </c>
      <c r="T324" s="224" t="str">
        <f ca="1">IF(B324="","",IF(ISERROR(MATCH($J324,SorP!$B$1:$B$6230,0)),"",INDIRECT("'SorP'!$A$"&amp;MATCH($J324,SorP!$B$1:$B$6230,0))))</f>
        <v/>
      </c>
      <c r="U324" s="239"/>
      <c r="V324" s="269" t="e">
        <f>IF(C324="",NA(),MATCH($B324&amp;$C324,'Smelter Look-up'!$J:$J,0))</f>
        <v>#N/A</v>
      </c>
      <c r="W324" s="270"/>
      <c r="X324" s="270">
        <f t="shared" ca="1" si="13"/>
        <v>0</v>
      </c>
      <c r="Y324" s="270"/>
      <c r="Z324" s="270"/>
      <c r="AB324" s="272" t="str">
        <f t="shared" si="14"/>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15">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16">IF(AND(C325="Smelter not listed",OR(LEN(D325)=0,LEN(E325)=0)),1,0)</f>
        <v>0</v>
      </c>
      <c r="Y325" s="270"/>
      <c r="Z325" s="270"/>
      <c r="AB325" s="272" t="str">
        <f t="shared" ref="AB325:AB388" si="17">B325&amp;C325</f>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5"/>
        <v/>
      </c>
      <c r="T326" s="224" t="str">
        <f ca="1">IF(B326="","",IF(ISERROR(MATCH($J326,SorP!$B$1:$B$6230,0)),"",INDIRECT("'SorP'!$A$"&amp;MATCH($J326,SorP!$B$1:$B$6230,0))))</f>
        <v/>
      </c>
      <c r="U326" s="239"/>
      <c r="V326" s="269" t="e">
        <f>IF(C326="",NA(),MATCH($B326&amp;$C326,'Smelter Look-up'!$J:$J,0))</f>
        <v>#N/A</v>
      </c>
      <c r="W326" s="270"/>
      <c r="X326" s="270">
        <f t="shared" ca="1" si="16"/>
        <v>0</v>
      </c>
      <c r="Y326" s="270"/>
      <c r="Z326" s="270"/>
      <c r="AB326" s="272" t="str">
        <f t="shared" si="17"/>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5"/>
        <v/>
      </c>
      <c r="T327" s="224" t="str">
        <f ca="1">IF(B327="","",IF(ISERROR(MATCH($J327,SorP!$B$1:$B$6230,0)),"",INDIRECT("'SorP'!$A$"&amp;MATCH($J327,SorP!$B$1:$B$6230,0))))</f>
        <v/>
      </c>
      <c r="U327" s="239"/>
      <c r="V327" s="269" t="e">
        <f>IF(C327="",NA(),MATCH($B327&amp;$C327,'Smelter Look-up'!$J:$J,0))</f>
        <v>#N/A</v>
      </c>
      <c r="W327" s="270"/>
      <c r="X327" s="270">
        <f t="shared" ca="1" si="16"/>
        <v>0</v>
      </c>
      <c r="Y327" s="270"/>
      <c r="Z327" s="270"/>
      <c r="AB327" s="272" t="str">
        <f t="shared" si="17"/>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5"/>
        <v/>
      </c>
      <c r="T383" s="224" t="str">
        <f ca="1">IF(B383="","",IF(ISERROR(MATCH($J383,SorP!$B$1:$B$6230,0)),"",INDIRECT("'SorP'!$A$"&amp;MATCH($J383,SorP!$B$1:$B$6230,0))))</f>
        <v/>
      </c>
      <c r="U383" s="239"/>
      <c r="V383" s="269" t="e">
        <f>IF(C383="",NA(),MATCH($B383&amp;$C383,'Smelter Look-up'!$J:$J,0))</f>
        <v>#N/A</v>
      </c>
      <c r="W383" s="270"/>
      <c r="X383" s="270">
        <f t="shared" ca="1" si="16"/>
        <v>0</v>
      </c>
      <c r="Y383" s="270"/>
      <c r="Z383" s="270"/>
      <c r="AB383" s="272" t="str">
        <f t="shared" si="17"/>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5"/>
        <v/>
      </c>
      <c r="T384" s="224" t="str">
        <f ca="1">IF(B384="","",IF(ISERROR(MATCH($J384,SorP!$B$1:$B$6230,0)),"",INDIRECT("'SorP'!$A$"&amp;MATCH($J384,SorP!$B$1:$B$6230,0))))</f>
        <v/>
      </c>
      <c r="U384" s="239"/>
      <c r="V384" s="269" t="e">
        <f>IF(C384="",NA(),MATCH($B384&amp;$C384,'Smelter Look-up'!$J:$J,0))</f>
        <v>#N/A</v>
      </c>
      <c r="W384" s="270"/>
      <c r="X384" s="270">
        <f t="shared" ca="1" si="16"/>
        <v>0</v>
      </c>
      <c r="Y384" s="270"/>
      <c r="Z384" s="270"/>
      <c r="AB384" s="272" t="str">
        <f t="shared" si="17"/>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5"/>
        <v/>
      </c>
      <c r="T385" s="224" t="str">
        <f ca="1">IF(B385="","",IF(ISERROR(MATCH($J385,SorP!$B$1:$B$6230,0)),"",INDIRECT("'SorP'!$A$"&amp;MATCH($J385,SorP!$B$1:$B$6230,0))))</f>
        <v/>
      </c>
      <c r="U385" s="239"/>
      <c r="V385" s="269" t="e">
        <f>IF(C385="",NA(),MATCH($B385&amp;$C385,'Smelter Look-up'!$J:$J,0))</f>
        <v>#N/A</v>
      </c>
      <c r="W385" s="270"/>
      <c r="X385" s="270">
        <f t="shared" ca="1" si="16"/>
        <v>0</v>
      </c>
      <c r="Y385" s="270"/>
      <c r="Z385" s="270"/>
      <c r="AB385" s="272" t="str">
        <f t="shared" si="17"/>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5"/>
        <v/>
      </c>
      <c r="T386" s="224" t="str">
        <f ca="1">IF(B386="","",IF(ISERROR(MATCH($J386,SorP!$B$1:$B$6230,0)),"",INDIRECT("'SorP'!$A$"&amp;MATCH($J386,SorP!$B$1:$B$6230,0))))</f>
        <v/>
      </c>
      <c r="U386" s="239"/>
      <c r="V386" s="269" t="e">
        <f>IF(C386="",NA(),MATCH($B386&amp;$C386,'Smelter Look-up'!$J:$J,0))</f>
        <v>#N/A</v>
      </c>
      <c r="W386" s="270"/>
      <c r="X386" s="270">
        <f t="shared" ca="1" si="16"/>
        <v>0</v>
      </c>
      <c r="Y386" s="270"/>
      <c r="Z386" s="270"/>
      <c r="AB386" s="272" t="str">
        <f t="shared" si="17"/>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5"/>
        <v/>
      </c>
      <c r="T387" s="224" t="str">
        <f ca="1">IF(B387="","",IF(ISERROR(MATCH($J387,SorP!$B$1:$B$6230,0)),"",INDIRECT("'SorP'!$A$"&amp;MATCH($J387,SorP!$B$1:$B$6230,0))))</f>
        <v/>
      </c>
      <c r="U387" s="239"/>
      <c r="V387" s="269" t="e">
        <f>IF(C387="",NA(),MATCH($B387&amp;$C387,'Smelter Look-up'!$J:$J,0))</f>
        <v>#N/A</v>
      </c>
      <c r="W387" s="270"/>
      <c r="X387" s="270">
        <f t="shared" ca="1" si="16"/>
        <v>0</v>
      </c>
      <c r="Y387" s="270"/>
      <c r="Z387" s="270"/>
      <c r="AB387" s="272" t="str">
        <f t="shared" si="17"/>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5"/>
        <v/>
      </c>
      <c r="T388" s="224" t="str">
        <f ca="1">IF(B388="","",IF(ISERROR(MATCH($J388,SorP!$B$1:$B$6230,0)),"",INDIRECT("'SorP'!$A$"&amp;MATCH($J388,SorP!$B$1:$B$6230,0))))</f>
        <v/>
      </c>
      <c r="U388" s="239"/>
      <c r="V388" s="269" t="e">
        <f>IF(C388="",NA(),MATCH($B388&amp;$C388,'Smelter Look-up'!$J:$J,0))</f>
        <v>#N/A</v>
      </c>
      <c r="W388" s="270"/>
      <c r="X388" s="270">
        <f t="shared" ca="1" si="16"/>
        <v>0</v>
      </c>
      <c r="Y388" s="270"/>
      <c r="Z388" s="270"/>
      <c r="AB388" s="272" t="str">
        <f t="shared" si="17"/>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18">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19">IF(AND(C389="Smelter not listed",OR(LEN(D389)=0,LEN(E389)=0)),1,0)</f>
        <v>0</v>
      </c>
      <c r="Y389" s="270"/>
      <c r="Z389" s="270"/>
      <c r="AB389" s="272" t="str">
        <f t="shared" ref="AB389:AB452" si="20">B389&amp;C389</f>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18"/>
        <v/>
      </c>
      <c r="T447" s="224" t="str">
        <f ca="1">IF(B447="","",IF(ISERROR(MATCH($J447,SorP!$B$1:$B$6230,0)),"",INDIRECT("'SorP'!$A$"&amp;MATCH($J447,SorP!$B$1:$B$6230,0))))</f>
        <v/>
      </c>
      <c r="U447" s="239"/>
      <c r="V447" s="269" t="e">
        <f>IF(C447="",NA(),MATCH($B447&amp;$C447,'Smelter Look-up'!$J:$J,0))</f>
        <v>#N/A</v>
      </c>
      <c r="W447" s="270"/>
      <c r="X447" s="270">
        <f t="shared" ca="1" si="19"/>
        <v>0</v>
      </c>
      <c r="Y447" s="270"/>
      <c r="Z447" s="270"/>
      <c r="AB447" s="272" t="str">
        <f t="shared" si="20"/>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18"/>
        <v/>
      </c>
      <c r="T448" s="224" t="str">
        <f ca="1">IF(B448="","",IF(ISERROR(MATCH($J448,SorP!$B$1:$B$6230,0)),"",INDIRECT("'SorP'!$A$"&amp;MATCH($J448,SorP!$B$1:$B$6230,0))))</f>
        <v/>
      </c>
      <c r="U448" s="239"/>
      <c r="V448" s="269" t="e">
        <f>IF(C448="",NA(),MATCH($B448&amp;$C448,'Smelter Look-up'!$J:$J,0))</f>
        <v>#N/A</v>
      </c>
      <c r="W448" s="270"/>
      <c r="X448" s="270">
        <f t="shared" ca="1" si="19"/>
        <v>0</v>
      </c>
      <c r="Y448" s="270"/>
      <c r="Z448" s="270"/>
      <c r="AB448" s="272" t="str">
        <f t="shared" si="20"/>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18"/>
        <v/>
      </c>
      <c r="T449" s="224" t="str">
        <f ca="1">IF(B449="","",IF(ISERROR(MATCH($J449,SorP!$B$1:$B$6230,0)),"",INDIRECT("'SorP'!$A$"&amp;MATCH($J449,SorP!$B$1:$B$6230,0))))</f>
        <v/>
      </c>
      <c r="U449" s="239"/>
      <c r="V449" s="269" t="e">
        <f>IF(C449="",NA(),MATCH($B449&amp;$C449,'Smelter Look-up'!$J:$J,0))</f>
        <v>#N/A</v>
      </c>
      <c r="W449" s="270"/>
      <c r="X449" s="270">
        <f t="shared" ca="1" si="19"/>
        <v>0</v>
      </c>
      <c r="Y449" s="270"/>
      <c r="Z449" s="270"/>
      <c r="AB449" s="272" t="str">
        <f t="shared" si="20"/>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18"/>
        <v/>
      </c>
      <c r="T450" s="224" t="str">
        <f ca="1">IF(B450="","",IF(ISERROR(MATCH($J450,SorP!$B$1:$B$6230,0)),"",INDIRECT("'SorP'!$A$"&amp;MATCH($J450,SorP!$B$1:$B$6230,0))))</f>
        <v/>
      </c>
      <c r="U450" s="239"/>
      <c r="V450" s="269" t="e">
        <f>IF(C450="",NA(),MATCH($B450&amp;$C450,'Smelter Look-up'!$J:$J,0))</f>
        <v>#N/A</v>
      </c>
      <c r="W450" s="270"/>
      <c r="X450" s="270">
        <f t="shared" ca="1" si="19"/>
        <v>0</v>
      </c>
      <c r="Y450" s="270"/>
      <c r="Z450" s="270"/>
      <c r="AB450" s="272" t="str">
        <f t="shared" si="20"/>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18"/>
        <v/>
      </c>
      <c r="T451" s="224" t="str">
        <f ca="1">IF(B451="","",IF(ISERROR(MATCH($J451,SorP!$B$1:$B$6230,0)),"",INDIRECT("'SorP'!$A$"&amp;MATCH($J451,SorP!$B$1:$B$6230,0))))</f>
        <v/>
      </c>
      <c r="U451" s="239"/>
      <c r="V451" s="269" t="e">
        <f>IF(C451="",NA(),MATCH($B451&amp;$C451,'Smelter Look-up'!$J:$J,0))</f>
        <v>#N/A</v>
      </c>
      <c r="W451" s="270"/>
      <c r="X451" s="270">
        <f t="shared" ca="1" si="19"/>
        <v>0</v>
      </c>
      <c r="Y451" s="270"/>
      <c r="Z451" s="270"/>
      <c r="AB451" s="272" t="str">
        <f t="shared" si="20"/>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18"/>
        <v/>
      </c>
      <c r="T452" s="224" t="str">
        <f ca="1">IF(B452="","",IF(ISERROR(MATCH($J452,SorP!$B$1:$B$6230,0)),"",INDIRECT("'SorP'!$A$"&amp;MATCH($J452,SorP!$B$1:$B$6230,0))))</f>
        <v/>
      </c>
      <c r="U452" s="239"/>
      <c r="V452" s="269" t="e">
        <f>IF(C452="",NA(),MATCH($B452&amp;$C452,'Smelter Look-up'!$J:$J,0))</f>
        <v>#N/A</v>
      </c>
      <c r="W452" s="270"/>
      <c r="X452" s="270">
        <f t="shared" ca="1" si="19"/>
        <v>0</v>
      </c>
      <c r="Y452" s="270"/>
      <c r="Z452" s="270"/>
      <c r="AB452" s="272" t="str">
        <f t="shared" si="20"/>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1">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2">IF(AND(C453="Smelter not listed",OR(LEN(D453)=0,LEN(E453)=0)),1,0)</f>
        <v>0</v>
      </c>
      <c r="Y453" s="270"/>
      <c r="Z453" s="270"/>
      <c r="AB453" s="272" t="str">
        <f t="shared" ref="AB453:AB516" si="23">B453&amp;C453</f>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1"/>
        <v/>
      </c>
      <c r="T511" s="224" t="str">
        <f ca="1">IF(B511="","",IF(ISERROR(MATCH($J511,SorP!$B$1:$B$6230,0)),"",INDIRECT("'SorP'!$A$"&amp;MATCH($J511,SorP!$B$1:$B$6230,0))))</f>
        <v/>
      </c>
      <c r="U511" s="239"/>
      <c r="V511" s="269" t="e">
        <f>IF(C511="",NA(),MATCH($B511&amp;$C511,'Smelter Look-up'!$J:$J,0))</f>
        <v>#N/A</v>
      </c>
      <c r="W511" s="270"/>
      <c r="X511" s="270">
        <f t="shared" ca="1" si="22"/>
        <v>0</v>
      </c>
      <c r="Y511" s="270"/>
      <c r="Z511" s="270"/>
      <c r="AB511" s="272" t="str">
        <f t="shared" si="23"/>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1"/>
        <v/>
      </c>
      <c r="T512" s="224" t="str">
        <f ca="1">IF(B512="","",IF(ISERROR(MATCH($J512,SorP!$B$1:$B$6230,0)),"",INDIRECT("'SorP'!$A$"&amp;MATCH($J512,SorP!$B$1:$B$6230,0))))</f>
        <v/>
      </c>
      <c r="U512" s="239"/>
      <c r="V512" s="269" t="e">
        <f>IF(C512="",NA(),MATCH($B512&amp;$C512,'Smelter Look-up'!$J:$J,0))</f>
        <v>#N/A</v>
      </c>
      <c r="W512" s="270"/>
      <c r="X512" s="270">
        <f t="shared" ca="1" si="22"/>
        <v>0</v>
      </c>
      <c r="Y512" s="270"/>
      <c r="Z512" s="270"/>
      <c r="AB512" s="272" t="str">
        <f t="shared" si="23"/>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1"/>
        <v/>
      </c>
      <c r="T513" s="224" t="str">
        <f ca="1">IF(B513="","",IF(ISERROR(MATCH($J513,SorP!$B$1:$B$6230,0)),"",INDIRECT("'SorP'!$A$"&amp;MATCH($J513,SorP!$B$1:$B$6230,0))))</f>
        <v/>
      </c>
      <c r="U513" s="239"/>
      <c r="V513" s="269" t="e">
        <f>IF(C513="",NA(),MATCH($B513&amp;$C513,'Smelter Look-up'!$J:$J,0))</f>
        <v>#N/A</v>
      </c>
      <c r="W513" s="270"/>
      <c r="X513" s="270">
        <f t="shared" ca="1" si="22"/>
        <v>0</v>
      </c>
      <c r="Y513" s="270"/>
      <c r="Z513" s="270"/>
      <c r="AB513" s="272" t="str">
        <f t="shared" si="23"/>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1"/>
        <v/>
      </c>
      <c r="T514" s="224" t="str">
        <f ca="1">IF(B514="","",IF(ISERROR(MATCH($J514,SorP!$B$1:$B$6230,0)),"",INDIRECT("'SorP'!$A$"&amp;MATCH($J514,SorP!$B$1:$B$6230,0))))</f>
        <v/>
      </c>
      <c r="U514" s="239"/>
      <c r="V514" s="269" t="e">
        <f>IF(C514="",NA(),MATCH($B514&amp;$C514,'Smelter Look-up'!$J:$J,0))</f>
        <v>#N/A</v>
      </c>
      <c r="W514" s="270"/>
      <c r="X514" s="270">
        <f t="shared" ca="1" si="22"/>
        <v>0</v>
      </c>
      <c r="Y514" s="270"/>
      <c r="Z514" s="270"/>
      <c r="AB514" s="272" t="str">
        <f t="shared" si="23"/>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1"/>
        <v/>
      </c>
      <c r="T515" s="224" t="str">
        <f ca="1">IF(B515="","",IF(ISERROR(MATCH($J515,SorP!$B$1:$B$6230,0)),"",INDIRECT("'SorP'!$A$"&amp;MATCH($J515,SorP!$B$1:$B$6230,0))))</f>
        <v/>
      </c>
      <c r="U515" s="239"/>
      <c r="V515" s="269" t="e">
        <f>IF(C515="",NA(),MATCH($B515&amp;$C515,'Smelter Look-up'!$J:$J,0))</f>
        <v>#N/A</v>
      </c>
      <c r="W515" s="270"/>
      <c r="X515" s="270">
        <f t="shared" ca="1" si="22"/>
        <v>0</v>
      </c>
      <c r="Y515" s="270"/>
      <c r="Z515" s="270"/>
      <c r="AB515" s="272" t="str">
        <f t="shared" si="23"/>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1"/>
        <v/>
      </c>
      <c r="T516" s="224" t="str">
        <f ca="1">IF(B516="","",IF(ISERROR(MATCH($J516,SorP!$B$1:$B$6230,0)),"",INDIRECT("'SorP'!$A$"&amp;MATCH($J516,SorP!$B$1:$B$6230,0))))</f>
        <v/>
      </c>
      <c r="U516" s="239"/>
      <c r="V516" s="269" t="e">
        <f>IF(C516="",NA(),MATCH($B516&amp;$C516,'Smelter Look-up'!$J:$J,0))</f>
        <v>#N/A</v>
      </c>
      <c r="W516" s="270"/>
      <c r="X516" s="270">
        <f t="shared" ca="1" si="22"/>
        <v>0</v>
      </c>
      <c r="Y516" s="270"/>
      <c r="Z516" s="270"/>
      <c r="AB516" s="272" t="str">
        <f t="shared" si="23"/>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4">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5">IF(AND(C517="Smelter not listed",OR(LEN(D517)=0,LEN(E517)=0)),1,0)</f>
        <v>0</v>
      </c>
      <c r="Y517" s="270"/>
      <c r="Z517" s="270"/>
      <c r="AB517" s="272" t="str">
        <f t="shared" ref="AB517:AB580" si="26">B517&amp;C517</f>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4"/>
        <v/>
      </c>
      <c r="T575" s="224" t="str">
        <f ca="1">IF(B575="","",IF(ISERROR(MATCH($J575,SorP!$B$1:$B$6230,0)),"",INDIRECT("'SorP'!$A$"&amp;MATCH($J575,SorP!$B$1:$B$6230,0))))</f>
        <v/>
      </c>
      <c r="U575" s="239"/>
      <c r="V575" s="269" t="e">
        <f>IF(C575="",NA(),MATCH($B575&amp;$C575,'Smelter Look-up'!$J:$J,0))</f>
        <v>#N/A</v>
      </c>
      <c r="W575" s="270"/>
      <c r="X575" s="270">
        <f t="shared" ca="1" si="25"/>
        <v>0</v>
      </c>
      <c r="Y575" s="270"/>
      <c r="Z575" s="270"/>
      <c r="AB575" s="272" t="str">
        <f t="shared" si="26"/>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4"/>
        <v/>
      </c>
      <c r="T576" s="224" t="str">
        <f ca="1">IF(B576="","",IF(ISERROR(MATCH($J576,SorP!$B$1:$B$6230,0)),"",INDIRECT("'SorP'!$A$"&amp;MATCH($J576,SorP!$B$1:$B$6230,0))))</f>
        <v/>
      </c>
      <c r="U576" s="239"/>
      <c r="V576" s="269" t="e">
        <f>IF(C576="",NA(),MATCH($B576&amp;$C576,'Smelter Look-up'!$J:$J,0))</f>
        <v>#N/A</v>
      </c>
      <c r="W576" s="270"/>
      <c r="X576" s="270">
        <f t="shared" ca="1" si="25"/>
        <v>0</v>
      </c>
      <c r="Y576" s="270"/>
      <c r="Z576" s="270"/>
      <c r="AB576" s="272" t="str">
        <f t="shared" si="26"/>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4"/>
        <v/>
      </c>
      <c r="T577" s="224" t="str">
        <f ca="1">IF(B577="","",IF(ISERROR(MATCH($J577,SorP!$B$1:$B$6230,0)),"",INDIRECT("'SorP'!$A$"&amp;MATCH($J577,SorP!$B$1:$B$6230,0))))</f>
        <v/>
      </c>
      <c r="U577" s="239"/>
      <c r="V577" s="269" t="e">
        <f>IF(C577="",NA(),MATCH($B577&amp;$C577,'Smelter Look-up'!$J:$J,0))</f>
        <v>#N/A</v>
      </c>
      <c r="W577" s="270"/>
      <c r="X577" s="270">
        <f t="shared" ca="1" si="25"/>
        <v>0</v>
      </c>
      <c r="Y577" s="270"/>
      <c r="Z577" s="270"/>
      <c r="AB577" s="272" t="str">
        <f t="shared" si="26"/>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4"/>
        <v/>
      </c>
      <c r="T578" s="224" t="str">
        <f ca="1">IF(B578="","",IF(ISERROR(MATCH($J578,SorP!$B$1:$B$6230,0)),"",INDIRECT("'SorP'!$A$"&amp;MATCH($J578,SorP!$B$1:$B$6230,0))))</f>
        <v/>
      </c>
      <c r="U578" s="239"/>
      <c r="V578" s="269" t="e">
        <f>IF(C578="",NA(),MATCH($B578&amp;$C578,'Smelter Look-up'!$J:$J,0))</f>
        <v>#N/A</v>
      </c>
      <c r="W578" s="270"/>
      <c r="X578" s="270">
        <f t="shared" ca="1" si="25"/>
        <v>0</v>
      </c>
      <c r="Y578" s="270"/>
      <c r="Z578" s="270"/>
      <c r="AB578" s="272" t="str">
        <f t="shared" si="26"/>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4"/>
        <v/>
      </c>
      <c r="T579" s="224" t="str">
        <f ca="1">IF(B579="","",IF(ISERROR(MATCH($J579,SorP!$B$1:$B$6230,0)),"",INDIRECT("'SorP'!$A$"&amp;MATCH($J579,SorP!$B$1:$B$6230,0))))</f>
        <v/>
      </c>
      <c r="U579" s="239"/>
      <c r="V579" s="269" t="e">
        <f>IF(C579="",NA(),MATCH($B579&amp;$C579,'Smelter Look-up'!$J:$J,0))</f>
        <v>#N/A</v>
      </c>
      <c r="W579" s="270"/>
      <c r="X579" s="270">
        <f t="shared" ca="1" si="25"/>
        <v>0</v>
      </c>
      <c r="Y579" s="270"/>
      <c r="Z579" s="270"/>
      <c r="AB579" s="272" t="str">
        <f t="shared" si="26"/>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4"/>
        <v/>
      </c>
      <c r="T580" s="224" t="str">
        <f ca="1">IF(B580="","",IF(ISERROR(MATCH($J580,SorP!$B$1:$B$6230,0)),"",INDIRECT("'SorP'!$A$"&amp;MATCH($J580,SorP!$B$1:$B$6230,0))))</f>
        <v/>
      </c>
      <c r="U580" s="239"/>
      <c r="V580" s="269" t="e">
        <f>IF(C580="",NA(),MATCH($B580&amp;$C580,'Smelter Look-up'!$J:$J,0))</f>
        <v>#N/A</v>
      </c>
      <c r="W580" s="270"/>
      <c r="X580" s="270">
        <f t="shared" ca="1" si="25"/>
        <v>0</v>
      </c>
      <c r="Y580" s="270"/>
      <c r="Z580" s="270"/>
      <c r="AB580" s="272" t="str">
        <f t="shared" si="26"/>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27">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28">IF(AND(C581="Smelter not listed",OR(LEN(D581)=0,LEN(E581)=0)),1,0)</f>
        <v>0</v>
      </c>
      <c r="Y581" s="270"/>
      <c r="Z581" s="270"/>
      <c r="AB581" s="272" t="str">
        <f t="shared" ref="AB581:AB585" si="29">B581&amp;C581</f>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27"/>
        <v/>
      </c>
      <c r="T582" s="224" t="str">
        <f ca="1">IF(B582="","",IF(ISERROR(MATCH($J582,SorP!$B$1:$B$6230,0)),"",INDIRECT("'SorP'!$A$"&amp;MATCH($J582,SorP!$B$1:$B$6230,0))))</f>
        <v/>
      </c>
      <c r="U582" s="239"/>
      <c r="V582" s="269" t="e">
        <f>IF(C582="",NA(),MATCH($B582&amp;$C582,'Smelter Look-up'!$J:$J,0))</f>
        <v>#N/A</v>
      </c>
      <c r="W582" s="270"/>
      <c r="X582" s="270">
        <f t="shared" ca="1" si="28"/>
        <v>0</v>
      </c>
      <c r="Y582" s="270"/>
      <c r="Z582" s="270"/>
      <c r="AB582" s="272" t="str">
        <f t="shared" si="29"/>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27"/>
        <v/>
      </c>
      <c r="T583" s="224" t="str">
        <f ca="1">IF(B583="","",IF(ISERROR(MATCH($J583,SorP!$B$1:$B$6230,0)),"",INDIRECT("'SorP'!$A$"&amp;MATCH($J583,SorP!$B$1:$B$6230,0))))</f>
        <v/>
      </c>
      <c r="U583" s="239"/>
      <c r="V583" s="269" t="e">
        <f>IF(C583="",NA(),MATCH($B583&amp;$C583,'Smelter Look-up'!$J:$J,0))</f>
        <v>#N/A</v>
      </c>
      <c r="W583" s="270"/>
      <c r="X583" s="270">
        <f t="shared" ca="1" si="28"/>
        <v>0</v>
      </c>
      <c r="Y583" s="270"/>
      <c r="Z583" s="270"/>
      <c r="AB583" s="272" t="str">
        <f t="shared" si="29"/>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27"/>
        <v/>
      </c>
      <c r="T584" s="224" t="str">
        <f ca="1">IF(B584="","",IF(ISERROR(MATCH($J584,SorP!$B$1:$B$6230,0)),"",INDIRECT("'SorP'!$A$"&amp;MATCH($J584,SorP!$B$1:$B$6230,0))))</f>
        <v/>
      </c>
      <c r="U584" s="239"/>
      <c r="V584" s="269" t="e">
        <f>IF(C584="",NA(),MATCH($B584&amp;$C584,'Smelter Look-up'!$J:$J,0))</f>
        <v>#N/A</v>
      </c>
      <c r="W584" s="270"/>
      <c r="X584" s="270">
        <f t="shared" ca="1" si="28"/>
        <v>0</v>
      </c>
      <c r="Y584" s="270"/>
      <c r="Z584" s="270"/>
      <c r="AB584" s="272" t="str">
        <f t="shared" si="29"/>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27"/>
        <v/>
      </c>
      <c r="T585" s="224" t="str">
        <f ca="1">IF(B585="","",IF(ISERROR(MATCH($J585,SorP!$B$1:$B$6230,0)),"",INDIRECT("'SorP'!$A$"&amp;MATCH($J585,SorP!$B$1:$B$6230,0))))</f>
        <v/>
      </c>
      <c r="U585" s="239"/>
      <c r="V585" s="269" t="e">
        <f>IF(C585="",NA(),MATCH($B585&amp;$C585,'Smelter Look-up'!$J:$J,0))</f>
        <v>#N/A</v>
      </c>
      <c r="W585" s="270"/>
      <c r="X585" s="270">
        <f t="shared" ca="1" si="28"/>
        <v>0</v>
      </c>
      <c r="Y585" s="270"/>
      <c r="Z585" s="270"/>
      <c r="AB585" s="272" t="str">
        <f t="shared" si="29"/>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0">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1">IF(AND(C586="Smelter not listed",OR(LEN(D586)=0,LEN(E586)=0)),1,0)</f>
        <v>0</v>
      </c>
      <c r="Y586" s="270"/>
      <c r="Z586" s="270"/>
      <c r="AB586" s="272" t="str">
        <f t="shared" ref="AB586:AB634" si="32">B586&amp;C586</f>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0"/>
        <v/>
      </c>
      <c r="T620" s="224" t="str">
        <f ca="1">IF(B620="","",IF(ISERROR(MATCH($J620,SorP!$B$1:$B$6230,0)),"",INDIRECT("'SorP'!$A$"&amp;MATCH($J620,SorP!$B$1:$B$6230,0))))</f>
        <v/>
      </c>
      <c r="U620" s="239"/>
      <c r="V620" s="269" t="e">
        <f>IF(C620="",NA(),MATCH($B620&amp;$C620,'Smelter Look-up'!$J:$J,0))</f>
        <v>#N/A</v>
      </c>
      <c r="W620" s="270"/>
      <c r="X620" s="270">
        <f t="shared" ca="1" si="31"/>
        <v>0</v>
      </c>
      <c r="Y620" s="270"/>
      <c r="Z620" s="270"/>
      <c r="AB620" s="272" t="str">
        <f t="shared" si="32"/>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0"/>
        <v/>
      </c>
      <c r="T621" s="224" t="str">
        <f ca="1">IF(B621="","",IF(ISERROR(MATCH($J621,SorP!$B$1:$B$6230,0)),"",INDIRECT("'SorP'!$A$"&amp;MATCH($J621,SorP!$B$1:$B$6230,0))))</f>
        <v/>
      </c>
      <c r="U621" s="239"/>
      <c r="V621" s="269" t="e">
        <f>IF(C621="",NA(),MATCH($B621&amp;$C621,'Smelter Look-up'!$J:$J,0))</f>
        <v>#N/A</v>
      </c>
      <c r="W621" s="270"/>
      <c r="X621" s="270">
        <f t="shared" ca="1" si="31"/>
        <v>0</v>
      </c>
      <c r="Y621" s="270"/>
      <c r="Z621" s="270"/>
      <c r="AB621" s="272" t="str">
        <f t="shared" si="32"/>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0"/>
        <v/>
      </c>
      <c r="T622" s="224" t="str">
        <f ca="1">IF(B622="","",IF(ISERROR(MATCH($J622,SorP!$B$1:$B$6230,0)),"",INDIRECT("'SorP'!$A$"&amp;MATCH($J622,SorP!$B$1:$B$6230,0))))</f>
        <v/>
      </c>
      <c r="U622" s="239"/>
      <c r="V622" s="269" t="e">
        <f>IF(C622="",NA(),MATCH($B622&amp;$C622,'Smelter Look-up'!$J:$J,0))</f>
        <v>#N/A</v>
      </c>
      <c r="W622" s="270"/>
      <c r="X622" s="270">
        <f t="shared" ca="1" si="31"/>
        <v>0</v>
      </c>
      <c r="Y622" s="270"/>
      <c r="Z622" s="270"/>
      <c r="AB622" s="272" t="str">
        <f t="shared" si="32"/>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0"/>
        <v/>
      </c>
      <c r="T623" s="224" t="str">
        <f ca="1">IF(B623="","",IF(ISERROR(MATCH($J623,SorP!$B$1:$B$6230,0)),"",INDIRECT("'SorP'!$A$"&amp;MATCH($J623,SorP!$B$1:$B$6230,0))))</f>
        <v/>
      </c>
      <c r="U623" s="239"/>
      <c r="V623" s="269" t="e">
        <f>IF(C623="",NA(),MATCH($B623&amp;$C623,'Smelter Look-up'!$J:$J,0))</f>
        <v>#N/A</v>
      </c>
      <c r="W623" s="270"/>
      <c r="X623" s="270">
        <f t="shared" ca="1" si="31"/>
        <v>0</v>
      </c>
      <c r="Y623" s="270"/>
      <c r="Z623" s="270"/>
      <c r="AB623" s="272" t="str">
        <f t="shared" si="32"/>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0"/>
        <v/>
      </c>
      <c r="T624" s="224" t="str">
        <f ca="1">IF(B624="","",IF(ISERROR(MATCH($J624,SorP!$B$1:$B$6230,0)),"",INDIRECT("'SorP'!$A$"&amp;MATCH($J624,SorP!$B$1:$B$6230,0))))</f>
        <v/>
      </c>
      <c r="U624" s="239"/>
      <c r="V624" s="269" t="e">
        <f>IF(C624="",NA(),MATCH($B624&amp;$C624,'Smelter Look-up'!$J:$J,0))</f>
        <v>#N/A</v>
      </c>
      <c r="W624" s="270"/>
      <c r="X624" s="270">
        <f t="shared" ca="1" si="31"/>
        <v>0</v>
      </c>
      <c r="Y624" s="270"/>
      <c r="Z624" s="270"/>
      <c r="AB624" s="272" t="str">
        <f t="shared" si="32"/>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0"/>
        <v/>
      </c>
      <c r="T625" s="224" t="str">
        <f ca="1">IF(B625="","",IF(ISERROR(MATCH($J625,SorP!$B$1:$B$6230,0)),"",INDIRECT("'SorP'!$A$"&amp;MATCH($J625,SorP!$B$1:$B$6230,0))))</f>
        <v/>
      </c>
      <c r="U625" s="239"/>
      <c r="V625" s="269" t="e">
        <f>IF(C625="",NA(),MATCH($B625&amp;$C625,'Smelter Look-up'!$J:$J,0))</f>
        <v>#N/A</v>
      </c>
      <c r="W625" s="270"/>
      <c r="X625" s="270">
        <f t="shared" ca="1" si="31"/>
        <v>0</v>
      </c>
      <c r="Y625" s="270"/>
      <c r="Z625" s="270"/>
      <c r="AB625" s="272" t="str">
        <f t="shared" si="32"/>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0"/>
        <v/>
      </c>
      <c r="T626" s="224" t="str">
        <f ca="1">IF(B626="","",IF(ISERROR(MATCH($J626,SorP!$B$1:$B$6230,0)),"",INDIRECT("'SorP'!$A$"&amp;MATCH($J626,SorP!$B$1:$B$6230,0))))</f>
        <v/>
      </c>
      <c r="U626" s="239"/>
      <c r="V626" s="269" t="e">
        <f>IF(C626="",NA(),MATCH($B626&amp;$C626,'Smelter Look-up'!$J:$J,0))</f>
        <v>#N/A</v>
      </c>
      <c r="W626" s="270"/>
      <c r="X626" s="270">
        <f t="shared" ca="1" si="31"/>
        <v>0</v>
      </c>
      <c r="Y626" s="270"/>
      <c r="Z626" s="270"/>
      <c r="AB626" s="272" t="str">
        <f t="shared" si="32"/>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0"/>
        <v/>
      </c>
      <c r="T627" s="224" t="str">
        <f ca="1">IF(B627="","",IF(ISERROR(MATCH($J627,SorP!$B$1:$B$6230,0)),"",INDIRECT("'SorP'!$A$"&amp;MATCH($J627,SorP!$B$1:$B$6230,0))))</f>
        <v/>
      </c>
      <c r="U627" s="239"/>
      <c r="V627" s="269" t="e">
        <f>IF(C627="",NA(),MATCH($B627&amp;$C627,'Smelter Look-up'!$J:$J,0))</f>
        <v>#N/A</v>
      </c>
      <c r="W627" s="270"/>
      <c r="X627" s="270">
        <f t="shared" ca="1" si="31"/>
        <v>0</v>
      </c>
      <c r="Y627" s="270"/>
      <c r="Z627" s="270"/>
      <c r="AB627" s="272" t="str">
        <f t="shared" si="32"/>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0"/>
        <v/>
      </c>
      <c r="T628" s="224" t="str">
        <f ca="1">IF(B628="","",IF(ISERROR(MATCH($J628,SorP!$B$1:$B$6230,0)),"",INDIRECT("'SorP'!$A$"&amp;MATCH($J628,SorP!$B$1:$B$6230,0))))</f>
        <v/>
      </c>
      <c r="U628" s="239"/>
      <c r="V628" s="269" t="e">
        <f>IF(C628="",NA(),MATCH($B628&amp;$C628,'Smelter Look-up'!$J:$J,0))</f>
        <v>#N/A</v>
      </c>
      <c r="W628" s="270"/>
      <c r="X628" s="270">
        <f t="shared" ca="1" si="31"/>
        <v>0</v>
      </c>
      <c r="Y628" s="270"/>
      <c r="Z628" s="270"/>
      <c r="AB628" s="272" t="str">
        <f t="shared" si="32"/>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0"/>
        <v/>
      </c>
      <c r="T629" s="224" t="str">
        <f ca="1">IF(B629="","",IF(ISERROR(MATCH($J629,SorP!$B$1:$B$6230,0)),"",INDIRECT("'SorP'!$A$"&amp;MATCH($J629,SorP!$B$1:$B$6230,0))))</f>
        <v/>
      </c>
      <c r="U629" s="239"/>
      <c r="V629" s="269" t="e">
        <f>IF(C629="",NA(),MATCH($B629&amp;$C629,'Smelter Look-up'!$J:$J,0))</f>
        <v>#N/A</v>
      </c>
      <c r="W629" s="270"/>
      <c r="X629" s="270">
        <f t="shared" ca="1" si="31"/>
        <v>0</v>
      </c>
      <c r="Y629" s="270"/>
      <c r="Z629" s="270"/>
      <c r="AB629" s="272" t="str">
        <f t="shared" si="32"/>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0"/>
        <v/>
      </c>
      <c r="T630" s="224" t="str">
        <f ca="1">IF(B630="","",IF(ISERROR(MATCH($J630,SorP!$B$1:$B$6230,0)),"",INDIRECT("'SorP'!$A$"&amp;MATCH($J630,SorP!$B$1:$B$6230,0))))</f>
        <v/>
      </c>
      <c r="U630" s="239"/>
      <c r="V630" s="269" t="e">
        <f>IF(C630="",NA(),MATCH($B630&amp;$C630,'Smelter Look-up'!$J:$J,0))</f>
        <v>#N/A</v>
      </c>
      <c r="W630" s="270"/>
      <c r="X630" s="270">
        <f t="shared" ca="1" si="31"/>
        <v>0</v>
      </c>
      <c r="Y630" s="270"/>
      <c r="Z630" s="270"/>
      <c r="AB630" s="272" t="str">
        <f t="shared" si="32"/>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0"/>
        <v/>
      </c>
      <c r="T631" s="224" t="str">
        <f ca="1">IF(B631="","",IF(ISERROR(MATCH($J631,SorP!$B$1:$B$6230,0)),"",INDIRECT("'SorP'!$A$"&amp;MATCH($J631,SorP!$B$1:$B$6230,0))))</f>
        <v/>
      </c>
      <c r="U631" s="239"/>
      <c r="V631" s="269" t="e">
        <f>IF(C631="",NA(),MATCH($B631&amp;$C631,'Smelter Look-up'!$J:$J,0))</f>
        <v>#N/A</v>
      </c>
      <c r="W631" s="270"/>
      <c r="X631" s="270">
        <f t="shared" ca="1" si="31"/>
        <v>0</v>
      </c>
      <c r="Y631" s="270"/>
      <c r="Z631" s="270"/>
      <c r="AB631" s="272" t="str">
        <f t="shared" si="32"/>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0"/>
        <v/>
      </c>
      <c r="T632" s="224" t="str">
        <f ca="1">IF(B632="","",IF(ISERROR(MATCH($J632,SorP!$B$1:$B$6230,0)),"",INDIRECT("'SorP'!$A$"&amp;MATCH($J632,SorP!$B$1:$B$6230,0))))</f>
        <v/>
      </c>
      <c r="U632" s="239"/>
      <c r="V632" s="269" t="e">
        <f>IF(C632="",NA(),MATCH($B632&amp;$C632,'Smelter Look-up'!$J:$J,0))</f>
        <v>#N/A</v>
      </c>
      <c r="W632" s="270"/>
      <c r="X632" s="270">
        <f t="shared" ca="1" si="31"/>
        <v>0</v>
      </c>
      <c r="Y632" s="270"/>
      <c r="Z632" s="270"/>
      <c r="AB632" s="272" t="str">
        <f t="shared" si="32"/>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0"/>
        <v/>
      </c>
      <c r="T633" s="224" t="str">
        <f ca="1">IF(B633="","",IF(ISERROR(MATCH($J633,SorP!$B$1:$B$6230,0)),"",INDIRECT("'SorP'!$A$"&amp;MATCH($J633,SorP!$B$1:$B$6230,0))))</f>
        <v/>
      </c>
      <c r="U633" s="239"/>
      <c r="V633" s="269" t="e">
        <f>IF(C633="",NA(),MATCH($B633&amp;$C633,'Smelter Look-up'!$J:$J,0))</f>
        <v>#N/A</v>
      </c>
      <c r="W633" s="270"/>
      <c r="X633" s="270">
        <f t="shared" ca="1" si="31"/>
        <v>0</v>
      </c>
      <c r="Y633" s="270"/>
      <c r="Z633" s="270"/>
      <c r="AB633" s="272" t="str">
        <f t="shared" si="32"/>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0"/>
        <v/>
      </c>
      <c r="T634" s="224" t="str">
        <f ca="1">IF(B634="","",IF(ISERROR(MATCH($J634,SorP!$B$1:$B$6230,0)),"",INDIRECT("'SorP'!$A$"&amp;MATCH($J634,SorP!$B$1:$B$6230,0))))</f>
        <v/>
      </c>
      <c r="U634" s="239"/>
      <c r="V634" s="269" t="e">
        <f>IF(C634="",NA(),MATCH($B634&amp;$C634,'Smelter Look-up'!$J:$J,0))</f>
        <v>#N/A</v>
      </c>
      <c r="W634" s="270"/>
      <c r="X634" s="270">
        <f t="shared" ca="1" si="31"/>
        <v>0</v>
      </c>
      <c r="Y634" s="270"/>
      <c r="Z634" s="270"/>
      <c r="AB634" s="272" t="str">
        <f t="shared" si="32"/>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3">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4">IF(AND(C635="Smelter not listed",OR(LEN(D635)=0,LEN(E635)=0)),1,0)</f>
        <v>0</v>
      </c>
      <c r="Y635" s="270"/>
      <c r="Z635" s="270"/>
      <c r="AB635" s="272" t="str">
        <f t="shared" ref="AB635:AB698" si="35">B635&amp;C635</f>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3"/>
        <v/>
      </c>
      <c r="T684" s="224" t="str">
        <f ca="1">IF(B684="","",IF(ISERROR(MATCH($J684,SorP!$B$1:$B$6230,0)),"",INDIRECT("'SorP'!$A$"&amp;MATCH($J684,SorP!$B$1:$B$6230,0))))</f>
        <v/>
      </c>
      <c r="U684" s="239"/>
      <c r="V684" s="269" t="e">
        <f>IF(C684="",NA(),MATCH($B684&amp;$C684,'Smelter Look-up'!$J:$J,0))</f>
        <v>#N/A</v>
      </c>
      <c r="W684" s="270"/>
      <c r="X684" s="270">
        <f t="shared" ca="1" si="34"/>
        <v>0</v>
      </c>
      <c r="Y684" s="270"/>
      <c r="Z684" s="270"/>
      <c r="AB684" s="272" t="str">
        <f t="shared" si="35"/>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3"/>
        <v/>
      </c>
      <c r="T685" s="224" t="str">
        <f ca="1">IF(B685="","",IF(ISERROR(MATCH($J685,SorP!$B$1:$B$6230,0)),"",INDIRECT("'SorP'!$A$"&amp;MATCH($J685,SorP!$B$1:$B$6230,0))))</f>
        <v/>
      </c>
      <c r="U685" s="239"/>
      <c r="V685" s="269" t="e">
        <f>IF(C685="",NA(),MATCH($B685&amp;$C685,'Smelter Look-up'!$J:$J,0))</f>
        <v>#N/A</v>
      </c>
      <c r="W685" s="270"/>
      <c r="X685" s="270">
        <f t="shared" ca="1" si="34"/>
        <v>0</v>
      </c>
      <c r="Y685" s="270"/>
      <c r="Z685" s="270"/>
      <c r="AB685" s="272" t="str">
        <f t="shared" si="35"/>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3"/>
        <v/>
      </c>
      <c r="T686" s="224" t="str">
        <f ca="1">IF(B686="","",IF(ISERROR(MATCH($J686,SorP!$B$1:$B$6230,0)),"",INDIRECT("'SorP'!$A$"&amp;MATCH($J686,SorP!$B$1:$B$6230,0))))</f>
        <v/>
      </c>
      <c r="U686" s="239"/>
      <c r="V686" s="269" t="e">
        <f>IF(C686="",NA(),MATCH($B686&amp;$C686,'Smelter Look-up'!$J:$J,0))</f>
        <v>#N/A</v>
      </c>
      <c r="W686" s="270"/>
      <c r="X686" s="270">
        <f t="shared" ca="1" si="34"/>
        <v>0</v>
      </c>
      <c r="Y686" s="270"/>
      <c r="Z686" s="270"/>
      <c r="AB686" s="272" t="str">
        <f t="shared" si="35"/>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3"/>
        <v/>
      </c>
      <c r="T687" s="224" t="str">
        <f ca="1">IF(B687="","",IF(ISERROR(MATCH($J687,SorP!$B$1:$B$6230,0)),"",INDIRECT("'SorP'!$A$"&amp;MATCH($J687,SorP!$B$1:$B$6230,0))))</f>
        <v/>
      </c>
      <c r="U687" s="239"/>
      <c r="V687" s="269" t="e">
        <f>IF(C687="",NA(),MATCH($B687&amp;$C687,'Smelter Look-up'!$J:$J,0))</f>
        <v>#N/A</v>
      </c>
      <c r="W687" s="270"/>
      <c r="X687" s="270">
        <f t="shared" ca="1" si="34"/>
        <v>0</v>
      </c>
      <c r="Y687" s="270"/>
      <c r="Z687" s="270"/>
      <c r="AB687" s="272" t="str">
        <f t="shared" si="35"/>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3"/>
        <v/>
      </c>
      <c r="T688" s="224" t="str">
        <f ca="1">IF(B688="","",IF(ISERROR(MATCH($J688,SorP!$B$1:$B$6230,0)),"",INDIRECT("'SorP'!$A$"&amp;MATCH($J688,SorP!$B$1:$B$6230,0))))</f>
        <v/>
      </c>
      <c r="U688" s="239"/>
      <c r="V688" s="269" t="e">
        <f>IF(C688="",NA(),MATCH($B688&amp;$C688,'Smelter Look-up'!$J:$J,0))</f>
        <v>#N/A</v>
      </c>
      <c r="W688" s="270"/>
      <c r="X688" s="270">
        <f t="shared" ca="1" si="34"/>
        <v>0</v>
      </c>
      <c r="Y688" s="270"/>
      <c r="Z688" s="270"/>
      <c r="AB688" s="272" t="str">
        <f t="shared" si="35"/>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3"/>
        <v/>
      </c>
      <c r="T689" s="224" t="str">
        <f ca="1">IF(B689="","",IF(ISERROR(MATCH($J689,SorP!$B$1:$B$6230,0)),"",INDIRECT("'SorP'!$A$"&amp;MATCH($J689,SorP!$B$1:$B$6230,0))))</f>
        <v/>
      </c>
      <c r="U689" s="239"/>
      <c r="V689" s="269" t="e">
        <f>IF(C689="",NA(),MATCH($B689&amp;$C689,'Smelter Look-up'!$J:$J,0))</f>
        <v>#N/A</v>
      </c>
      <c r="W689" s="270"/>
      <c r="X689" s="270">
        <f t="shared" ca="1" si="34"/>
        <v>0</v>
      </c>
      <c r="Y689" s="270"/>
      <c r="Z689" s="270"/>
      <c r="AB689" s="272" t="str">
        <f t="shared" si="35"/>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3"/>
        <v/>
      </c>
      <c r="T690" s="224" t="str">
        <f ca="1">IF(B690="","",IF(ISERROR(MATCH($J690,SorP!$B$1:$B$6230,0)),"",INDIRECT("'SorP'!$A$"&amp;MATCH($J690,SorP!$B$1:$B$6230,0))))</f>
        <v/>
      </c>
      <c r="U690" s="239"/>
      <c r="V690" s="269" t="e">
        <f>IF(C690="",NA(),MATCH($B690&amp;$C690,'Smelter Look-up'!$J:$J,0))</f>
        <v>#N/A</v>
      </c>
      <c r="W690" s="270"/>
      <c r="X690" s="270">
        <f t="shared" ca="1" si="34"/>
        <v>0</v>
      </c>
      <c r="Y690" s="270"/>
      <c r="Z690" s="270"/>
      <c r="AB690" s="272" t="str">
        <f t="shared" si="35"/>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3"/>
        <v/>
      </c>
      <c r="T691" s="224" t="str">
        <f ca="1">IF(B691="","",IF(ISERROR(MATCH($J691,SorP!$B$1:$B$6230,0)),"",INDIRECT("'SorP'!$A$"&amp;MATCH($J691,SorP!$B$1:$B$6230,0))))</f>
        <v/>
      </c>
      <c r="U691" s="239"/>
      <c r="V691" s="269" t="e">
        <f>IF(C691="",NA(),MATCH($B691&amp;$C691,'Smelter Look-up'!$J:$J,0))</f>
        <v>#N/A</v>
      </c>
      <c r="W691" s="270"/>
      <c r="X691" s="270">
        <f t="shared" ca="1" si="34"/>
        <v>0</v>
      </c>
      <c r="Y691" s="270"/>
      <c r="Z691" s="270"/>
      <c r="AB691" s="272" t="str">
        <f t="shared" si="35"/>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3"/>
        <v/>
      </c>
      <c r="T692" s="224" t="str">
        <f ca="1">IF(B692="","",IF(ISERROR(MATCH($J692,SorP!$B$1:$B$6230,0)),"",INDIRECT("'SorP'!$A$"&amp;MATCH($J692,SorP!$B$1:$B$6230,0))))</f>
        <v/>
      </c>
      <c r="U692" s="239"/>
      <c r="V692" s="269" t="e">
        <f>IF(C692="",NA(),MATCH($B692&amp;$C692,'Smelter Look-up'!$J:$J,0))</f>
        <v>#N/A</v>
      </c>
      <c r="W692" s="270"/>
      <c r="X692" s="270">
        <f t="shared" ca="1" si="34"/>
        <v>0</v>
      </c>
      <c r="Y692" s="270"/>
      <c r="Z692" s="270"/>
      <c r="AB692" s="272" t="str">
        <f t="shared" si="35"/>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3"/>
        <v/>
      </c>
      <c r="T693" s="224" t="str">
        <f ca="1">IF(B693="","",IF(ISERROR(MATCH($J693,SorP!$B$1:$B$6230,0)),"",INDIRECT("'SorP'!$A$"&amp;MATCH($J693,SorP!$B$1:$B$6230,0))))</f>
        <v/>
      </c>
      <c r="U693" s="239"/>
      <c r="V693" s="269" t="e">
        <f>IF(C693="",NA(),MATCH($B693&amp;$C693,'Smelter Look-up'!$J:$J,0))</f>
        <v>#N/A</v>
      </c>
      <c r="W693" s="270"/>
      <c r="X693" s="270">
        <f t="shared" ca="1" si="34"/>
        <v>0</v>
      </c>
      <c r="Y693" s="270"/>
      <c r="Z693" s="270"/>
      <c r="AB693" s="272" t="str">
        <f t="shared" si="35"/>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3"/>
        <v/>
      </c>
      <c r="T694" s="224" t="str">
        <f ca="1">IF(B694="","",IF(ISERROR(MATCH($J694,SorP!$B$1:$B$6230,0)),"",INDIRECT("'SorP'!$A$"&amp;MATCH($J694,SorP!$B$1:$B$6230,0))))</f>
        <v/>
      </c>
      <c r="U694" s="239"/>
      <c r="V694" s="269" t="e">
        <f>IF(C694="",NA(),MATCH($B694&amp;$C694,'Smelter Look-up'!$J:$J,0))</f>
        <v>#N/A</v>
      </c>
      <c r="W694" s="270"/>
      <c r="X694" s="270">
        <f t="shared" ca="1" si="34"/>
        <v>0</v>
      </c>
      <c r="Y694" s="270"/>
      <c r="Z694" s="270"/>
      <c r="AB694" s="272" t="str">
        <f t="shared" si="35"/>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3"/>
        <v/>
      </c>
      <c r="T695" s="224" t="str">
        <f ca="1">IF(B695="","",IF(ISERROR(MATCH($J695,SorP!$B$1:$B$6230,0)),"",INDIRECT("'SorP'!$A$"&amp;MATCH($J695,SorP!$B$1:$B$6230,0))))</f>
        <v/>
      </c>
      <c r="U695" s="239"/>
      <c r="V695" s="269" t="e">
        <f>IF(C695="",NA(),MATCH($B695&amp;$C695,'Smelter Look-up'!$J:$J,0))</f>
        <v>#N/A</v>
      </c>
      <c r="W695" s="270"/>
      <c r="X695" s="270">
        <f t="shared" ca="1" si="34"/>
        <v>0</v>
      </c>
      <c r="Y695" s="270"/>
      <c r="Z695" s="270"/>
      <c r="AB695" s="272" t="str">
        <f t="shared" si="35"/>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3"/>
        <v/>
      </c>
      <c r="T696" s="224" t="str">
        <f ca="1">IF(B696="","",IF(ISERROR(MATCH($J696,SorP!$B$1:$B$6230,0)),"",INDIRECT("'SorP'!$A$"&amp;MATCH($J696,SorP!$B$1:$B$6230,0))))</f>
        <v/>
      </c>
      <c r="U696" s="239"/>
      <c r="V696" s="269" t="e">
        <f>IF(C696="",NA(),MATCH($B696&amp;$C696,'Smelter Look-up'!$J:$J,0))</f>
        <v>#N/A</v>
      </c>
      <c r="W696" s="270"/>
      <c r="X696" s="270">
        <f t="shared" ca="1" si="34"/>
        <v>0</v>
      </c>
      <c r="Y696" s="270"/>
      <c r="Z696" s="270"/>
      <c r="AB696" s="272" t="str">
        <f t="shared" si="35"/>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3"/>
        <v/>
      </c>
      <c r="T697" s="224" t="str">
        <f ca="1">IF(B697="","",IF(ISERROR(MATCH($J697,SorP!$B$1:$B$6230,0)),"",INDIRECT("'SorP'!$A$"&amp;MATCH($J697,SorP!$B$1:$B$6230,0))))</f>
        <v/>
      </c>
      <c r="U697" s="239"/>
      <c r="V697" s="269" t="e">
        <f>IF(C697="",NA(),MATCH($B697&amp;$C697,'Smelter Look-up'!$J:$J,0))</f>
        <v>#N/A</v>
      </c>
      <c r="W697" s="270"/>
      <c r="X697" s="270">
        <f t="shared" ca="1" si="34"/>
        <v>0</v>
      </c>
      <c r="Y697" s="270"/>
      <c r="Z697" s="270"/>
      <c r="AB697" s="272" t="str">
        <f t="shared" si="35"/>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3"/>
        <v/>
      </c>
      <c r="T698" s="224" t="str">
        <f ca="1">IF(B698="","",IF(ISERROR(MATCH($J698,SorP!$B$1:$B$6230,0)),"",INDIRECT("'SorP'!$A$"&amp;MATCH($J698,SorP!$B$1:$B$6230,0))))</f>
        <v/>
      </c>
      <c r="U698" s="239"/>
      <c r="V698" s="269" t="e">
        <f>IF(C698="",NA(),MATCH($B698&amp;$C698,'Smelter Look-up'!$J:$J,0))</f>
        <v>#N/A</v>
      </c>
      <c r="W698" s="270"/>
      <c r="X698" s="270">
        <f t="shared" ca="1" si="34"/>
        <v>0</v>
      </c>
      <c r="Y698" s="270"/>
      <c r="Z698" s="270"/>
      <c r="AB698" s="272" t="str">
        <f t="shared" si="35"/>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6">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37">IF(AND(C699="Smelter not listed",OR(LEN(D699)=0,LEN(E699)=0)),1,0)</f>
        <v>0</v>
      </c>
      <c r="Y699" s="270"/>
      <c r="Z699" s="270"/>
      <c r="AB699" s="272" t="str">
        <f t="shared" ref="AB699:AB762" si="38">B699&amp;C699</f>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6"/>
        <v/>
      </c>
      <c r="T748" s="224" t="str">
        <f ca="1">IF(B748="","",IF(ISERROR(MATCH($J748,SorP!$B$1:$B$6230,0)),"",INDIRECT("'SorP'!$A$"&amp;MATCH($J748,SorP!$B$1:$B$6230,0))))</f>
        <v/>
      </c>
      <c r="U748" s="239"/>
      <c r="V748" s="269" t="e">
        <f>IF(C748="",NA(),MATCH($B748&amp;$C748,'Smelter Look-up'!$J:$J,0))</f>
        <v>#N/A</v>
      </c>
      <c r="W748" s="270"/>
      <c r="X748" s="270">
        <f t="shared" ca="1" si="37"/>
        <v>0</v>
      </c>
      <c r="Y748" s="270"/>
      <c r="Z748" s="270"/>
      <c r="AB748" s="272" t="str">
        <f t="shared" si="38"/>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6"/>
        <v/>
      </c>
      <c r="T749" s="224" t="str">
        <f ca="1">IF(B749="","",IF(ISERROR(MATCH($J749,SorP!$B$1:$B$6230,0)),"",INDIRECT("'SorP'!$A$"&amp;MATCH($J749,SorP!$B$1:$B$6230,0))))</f>
        <v/>
      </c>
      <c r="U749" s="239"/>
      <c r="V749" s="269" t="e">
        <f>IF(C749="",NA(),MATCH($B749&amp;$C749,'Smelter Look-up'!$J:$J,0))</f>
        <v>#N/A</v>
      </c>
      <c r="W749" s="270"/>
      <c r="X749" s="270">
        <f t="shared" ca="1" si="37"/>
        <v>0</v>
      </c>
      <c r="Y749" s="270"/>
      <c r="Z749" s="270"/>
      <c r="AB749" s="272" t="str">
        <f t="shared" si="38"/>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6"/>
        <v/>
      </c>
      <c r="T750" s="224" t="str">
        <f ca="1">IF(B750="","",IF(ISERROR(MATCH($J750,SorP!$B$1:$B$6230,0)),"",INDIRECT("'SorP'!$A$"&amp;MATCH($J750,SorP!$B$1:$B$6230,0))))</f>
        <v/>
      </c>
      <c r="U750" s="239"/>
      <c r="V750" s="269" t="e">
        <f>IF(C750="",NA(),MATCH($B750&amp;$C750,'Smelter Look-up'!$J:$J,0))</f>
        <v>#N/A</v>
      </c>
      <c r="W750" s="270"/>
      <c r="X750" s="270">
        <f t="shared" ca="1" si="37"/>
        <v>0</v>
      </c>
      <c r="Y750" s="270"/>
      <c r="Z750" s="270"/>
      <c r="AB750" s="272" t="str">
        <f t="shared" si="38"/>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6"/>
        <v/>
      </c>
      <c r="T751" s="224" t="str">
        <f ca="1">IF(B751="","",IF(ISERROR(MATCH($J751,SorP!$B$1:$B$6230,0)),"",INDIRECT("'SorP'!$A$"&amp;MATCH($J751,SorP!$B$1:$B$6230,0))))</f>
        <v/>
      </c>
      <c r="U751" s="239"/>
      <c r="V751" s="269" t="e">
        <f>IF(C751="",NA(),MATCH($B751&amp;$C751,'Smelter Look-up'!$J:$J,0))</f>
        <v>#N/A</v>
      </c>
      <c r="W751" s="270"/>
      <c r="X751" s="270">
        <f t="shared" ca="1" si="37"/>
        <v>0</v>
      </c>
      <c r="Y751" s="270"/>
      <c r="Z751" s="270"/>
      <c r="AB751" s="272" t="str">
        <f t="shared" si="38"/>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6"/>
        <v/>
      </c>
      <c r="T752" s="224" t="str">
        <f ca="1">IF(B752="","",IF(ISERROR(MATCH($J752,SorP!$B$1:$B$6230,0)),"",INDIRECT("'SorP'!$A$"&amp;MATCH($J752,SorP!$B$1:$B$6230,0))))</f>
        <v/>
      </c>
      <c r="U752" s="239"/>
      <c r="V752" s="269" t="e">
        <f>IF(C752="",NA(),MATCH($B752&amp;$C752,'Smelter Look-up'!$J:$J,0))</f>
        <v>#N/A</v>
      </c>
      <c r="W752" s="270"/>
      <c r="X752" s="270">
        <f t="shared" ca="1" si="37"/>
        <v>0</v>
      </c>
      <c r="Y752" s="270"/>
      <c r="Z752" s="270"/>
      <c r="AB752" s="272" t="str">
        <f t="shared" si="38"/>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6"/>
        <v/>
      </c>
      <c r="T753" s="224" t="str">
        <f ca="1">IF(B753="","",IF(ISERROR(MATCH($J753,SorP!$B$1:$B$6230,0)),"",INDIRECT("'SorP'!$A$"&amp;MATCH($J753,SorP!$B$1:$B$6230,0))))</f>
        <v/>
      </c>
      <c r="U753" s="239"/>
      <c r="V753" s="269" t="e">
        <f>IF(C753="",NA(),MATCH($B753&amp;$C753,'Smelter Look-up'!$J:$J,0))</f>
        <v>#N/A</v>
      </c>
      <c r="W753" s="270"/>
      <c r="X753" s="270">
        <f t="shared" ca="1" si="37"/>
        <v>0</v>
      </c>
      <c r="Y753" s="270"/>
      <c r="Z753" s="270"/>
      <c r="AB753" s="272" t="str">
        <f t="shared" si="38"/>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6"/>
        <v/>
      </c>
      <c r="T754" s="224" t="str">
        <f ca="1">IF(B754="","",IF(ISERROR(MATCH($J754,SorP!$B$1:$B$6230,0)),"",INDIRECT("'SorP'!$A$"&amp;MATCH($J754,SorP!$B$1:$B$6230,0))))</f>
        <v/>
      </c>
      <c r="U754" s="239"/>
      <c r="V754" s="269" t="e">
        <f>IF(C754="",NA(),MATCH($B754&amp;$C754,'Smelter Look-up'!$J:$J,0))</f>
        <v>#N/A</v>
      </c>
      <c r="W754" s="270"/>
      <c r="X754" s="270">
        <f t="shared" ca="1" si="37"/>
        <v>0</v>
      </c>
      <c r="Y754" s="270"/>
      <c r="Z754" s="270"/>
      <c r="AB754" s="272" t="str">
        <f t="shared" si="38"/>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6"/>
        <v/>
      </c>
      <c r="T755" s="224" t="str">
        <f ca="1">IF(B755="","",IF(ISERROR(MATCH($J755,SorP!$B$1:$B$6230,0)),"",INDIRECT("'SorP'!$A$"&amp;MATCH($J755,SorP!$B$1:$B$6230,0))))</f>
        <v/>
      </c>
      <c r="U755" s="239"/>
      <c r="V755" s="269" t="e">
        <f>IF(C755="",NA(),MATCH($B755&amp;$C755,'Smelter Look-up'!$J:$J,0))</f>
        <v>#N/A</v>
      </c>
      <c r="W755" s="270"/>
      <c r="X755" s="270">
        <f t="shared" ca="1" si="37"/>
        <v>0</v>
      </c>
      <c r="Y755" s="270"/>
      <c r="Z755" s="270"/>
      <c r="AB755" s="272" t="str">
        <f t="shared" si="38"/>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6"/>
        <v/>
      </c>
      <c r="T756" s="224" t="str">
        <f ca="1">IF(B756="","",IF(ISERROR(MATCH($J756,SorP!$B$1:$B$6230,0)),"",INDIRECT("'SorP'!$A$"&amp;MATCH($J756,SorP!$B$1:$B$6230,0))))</f>
        <v/>
      </c>
      <c r="U756" s="239"/>
      <c r="V756" s="269" t="e">
        <f>IF(C756="",NA(),MATCH($B756&amp;$C756,'Smelter Look-up'!$J:$J,0))</f>
        <v>#N/A</v>
      </c>
      <c r="W756" s="270"/>
      <c r="X756" s="270">
        <f t="shared" ca="1" si="37"/>
        <v>0</v>
      </c>
      <c r="Y756" s="270"/>
      <c r="Z756" s="270"/>
      <c r="AB756" s="272" t="str">
        <f t="shared" si="38"/>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6"/>
        <v/>
      </c>
      <c r="T757" s="224" t="str">
        <f ca="1">IF(B757="","",IF(ISERROR(MATCH($J757,SorP!$B$1:$B$6230,0)),"",INDIRECT("'SorP'!$A$"&amp;MATCH($J757,SorP!$B$1:$B$6230,0))))</f>
        <v/>
      </c>
      <c r="U757" s="239"/>
      <c r="V757" s="269" t="e">
        <f>IF(C757="",NA(),MATCH($B757&amp;$C757,'Smelter Look-up'!$J:$J,0))</f>
        <v>#N/A</v>
      </c>
      <c r="W757" s="270"/>
      <c r="X757" s="270">
        <f t="shared" ca="1" si="37"/>
        <v>0</v>
      </c>
      <c r="Y757" s="270"/>
      <c r="Z757" s="270"/>
      <c r="AB757" s="272" t="str">
        <f t="shared" si="38"/>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6"/>
        <v/>
      </c>
      <c r="T758" s="224" t="str">
        <f ca="1">IF(B758="","",IF(ISERROR(MATCH($J758,SorP!$B$1:$B$6230,0)),"",INDIRECT("'SorP'!$A$"&amp;MATCH($J758,SorP!$B$1:$B$6230,0))))</f>
        <v/>
      </c>
      <c r="U758" s="239"/>
      <c r="V758" s="269" t="e">
        <f>IF(C758="",NA(),MATCH($B758&amp;$C758,'Smelter Look-up'!$J:$J,0))</f>
        <v>#N/A</v>
      </c>
      <c r="W758" s="270"/>
      <c r="X758" s="270">
        <f t="shared" ca="1" si="37"/>
        <v>0</v>
      </c>
      <c r="Y758" s="270"/>
      <c r="Z758" s="270"/>
      <c r="AB758" s="272" t="str">
        <f t="shared" si="38"/>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6"/>
        <v/>
      </c>
      <c r="T759" s="224" t="str">
        <f ca="1">IF(B759="","",IF(ISERROR(MATCH($J759,SorP!$B$1:$B$6230,0)),"",INDIRECT("'SorP'!$A$"&amp;MATCH($J759,SorP!$B$1:$B$6230,0))))</f>
        <v/>
      </c>
      <c r="U759" s="239"/>
      <c r="V759" s="269" t="e">
        <f>IF(C759="",NA(),MATCH($B759&amp;$C759,'Smelter Look-up'!$J:$J,0))</f>
        <v>#N/A</v>
      </c>
      <c r="W759" s="270"/>
      <c r="X759" s="270">
        <f t="shared" ca="1" si="37"/>
        <v>0</v>
      </c>
      <c r="Y759" s="270"/>
      <c r="Z759" s="270"/>
      <c r="AB759" s="272" t="str">
        <f t="shared" si="38"/>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6"/>
        <v/>
      </c>
      <c r="T760" s="224" t="str">
        <f ca="1">IF(B760="","",IF(ISERROR(MATCH($J760,SorP!$B$1:$B$6230,0)),"",INDIRECT("'SorP'!$A$"&amp;MATCH($J760,SorP!$B$1:$B$6230,0))))</f>
        <v/>
      </c>
      <c r="U760" s="239"/>
      <c r="V760" s="269" t="e">
        <f>IF(C760="",NA(),MATCH($B760&amp;$C760,'Smelter Look-up'!$J:$J,0))</f>
        <v>#N/A</v>
      </c>
      <c r="W760" s="270"/>
      <c r="X760" s="270">
        <f t="shared" ca="1" si="37"/>
        <v>0</v>
      </c>
      <c r="Y760" s="270"/>
      <c r="Z760" s="270"/>
      <c r="AB760" s="272" t="str">
        <f t="shared" si="38"/>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6"/>
        <v/>
      </c>
      <c r="T761" s="224" t="str">
        <f ca="1">IF(B761="","",IF(ISERROR(MATCH($J761,SorP!$B$1:$B$6230,0)),"",INDIRECT("'SorP'!$A$"&amp;MATCH($J761,SorP!$B$1:$B$6230,0))))</f>
        <v/>
      </c>
      <c r="U761" s="239"/>
      <c r="V761" s="269" t="e">
        <f>IF(C761="",NA(),MATCH($B761&amp;$C761,'Smelter Look-up'!$J:$J,0))</f>
        <v>#N/A</v>
      </c>
      <c r="W761" s="270"/>
      <c r="X761" s="270">
        <f t="shared" ca="1" si="37"/>
        <v>0</v>
      </c>
      <c r="Y761" s="270"/>
      <c r="Z761" s="270"/>
      <c r="AB761" s="272" t="str">
        <f t="shared" si="38"/>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6"/>
        <v/>
      </c>
      <c r="T762" s="224" t="str">
        <f ca="1">IF(B762="","",IF(ISERROR(MATCH($J762,SorP!$B$1:$B$6230,0)),"",INDIRECT("'SorP'!$A$"&amp;MATCH($J762,SorP!$B$1:$B$6230,0))))</f>
        <v/>
      </c>
      <c r="U762" s="239"/>
      <c r="V762" s="269" t="e">
        <f>IF(C762="",NA(),MATCH($B762&amp;$C762,'Smelter Look-up'!$J:$J,0))</f>
        <v>#N/A</v>
      </c>
      <c r="W762" s="270"/>
      <c r="X762" s="270">
        <f t="shared" ca="1" si="37"/>
        <v>0</v>
      </c>
      <c r="Y762" s="270"/>
      <c r="Z762" s="270"/>
      <c r="AB762" s="272" t="str">
        <f t="shared" si="38"/>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39">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0">IF(AND(C763="Smelter not listed",OR(LEN(D763)=0,LEN(E763)=0)),1,0)</f>
        <v>0</v>
      </c>
      <c r="Y763" s="270"/>
      <c r="Z763" s="270"/>
      <c r="AB763" s="272" t="str">
        <f t="shared" ref="AB763:AB826" si="41">B763&amp;C763</f>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9"/>
        <v/>
      </c>
      <c r="T812" s="224" t="str">
        <f ca="1">IF(B812="","",IF(ISERROR(MATCH($J812,SorP!$B$1:$B$6230,0)),"",INDIRECT("'SorP'!$A$"&amp;MATCH($J812,SorP!$B$1:$B$6230,0))))</f>
        <v/>
      </c>
      <c r="U812" s="239"/>
      <c r="V812" s="269" t="e">
        <f>IF(C812="",NA(),MATCH($B812&amp;$C812,'Smelter Look-up'!$J:$J,0))</f>
        <v>#N/A</v>
      </c>
      <c r="W812" s="270"/>
      <c r="X812" s="270">
        <f t="shared" ca="1" si="40"/>
        <v>0</v>
      </c>
      <c r="Y812" s="270"/>
      <c r="Z812" s="270"/>
      <c r="AB812" s="272" t="str">
        <f t="shared" si="41"/>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9"/>
        <v/>
      </c>
      <c r="T813" s="224" t="str">
        <f ca="1">IF(B813="","",IF(ISERROR(MATCH($J813,SorP!$B$1:$B$6230,0)),"",INDIRECT("'SorP'!$A$"&amp;MATCH($J813,SorP!$B$1:$B$6230,0))))</f>
        <v/>
      </c>
      <c r="U813" s="239"/>
      <c r="V813" s="269" t="e">
        <f>IF(C813="",NA(),MATCH($B813&amp;$C813,'Smelter Look-up'!$J:$J,0))</f>
        <v>#N/A</v>
      </c>
      <c r="W813" s="270"/>
      <c r="X813" s="270">
        <f t="shared" ca="1" si="40"/>
        <v>0</v>
      </c>
      <c r="Y813" s="270"/>
      <c r="Z813" s="270"/>
      <c r="AB813" s="272" t="str">
        <f t="shared" si="41"/>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9"/>
        <v/>
      </c>
      <c r="T814" s="224" t="str">
        <f ca="1">IF(B814="","",IF(ISERROR(MATCH($J814,SorP!$B$1:$B$6230,0)),"",INDIRECT("'SorP'!$A$"&amp;MATCH($J814,SorP!$B$1:$B$6230,0))))</f>
        <v/>
      </c>
      <c r="U814" s="239"/>
      <c r="V814" s="269" t="e">
        <f>IF(C814="",NA(),MATCH($B814&amp;$C814,'Smelter Look-up'!$J:$J,0))</f>
        <v>#N/A</v>
      </c>
      <c r="W814" s="270"/>
      <c r="X814" s="270">
        <f t="shared" ca="1" si="40"/>
        <v>0</v>
      </c>
      <c r="Y814" s="270"/>
      <c r="Z814" s="270"/>
      <c r="AB814" s="272" t="str">
        <f t="shared" si="41"/>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9"/>
        <v/>
      </c>
      <c r="T815" s="224" t="str">
        <f ca="1">IF(B815="","",IF(ISERROR(MATCH($J815,SorP!$B$1:$B$6230,0)),"",INDIRECT("'SorP'!$A$"&amp;MATCH($J815,SorP!$B$1:$B$6230,0))))</f>
        <v/>
      </c>
      <c r="U815" s="239"/>
      <c r="V815" s="269" t="e">
        <f>IF(C815="",NA(),MATCH($B815&amp;$C815,'Smelter Look-up'!$J:$J,0))</f>
        <v>#N/A</v>
      </c>
      <c r="W815" s="270"/>
      <c r="X815" s="270">
        <f t="shared" ca="1" si="40"/>
        <v>0</v>
      </c>
      <c r="Y815" s="270"/>
      <c r="Z815" s="270"/>
      <c r="AB815" s="272" t="str">
        <f t="shared" si="41"/>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9"/>
        <v/>
      </c>
      <c r="T816" s="224" t="str">
        <f ca="1">IF(B816="","",IF(ISERROR(MATCH($J816,SorP!$B$1:$B$6230,0)),"",INDIRECT("'SorP'!$A$"&amp;MATCH($J816,SorP!$B$1:$B$6230,0))))</f>
        <v/>
      </c>
      <c r="U816" s="239"/>
      <c r="V816" s="269" t="e">
        <f>IF(C816="",NA(),MATCH($B816&amp;$C816,'Smelter Look-up'!$J:$J,0))</f>
        <v>#N/A</v>
      </c>
      <c r="W816" s="270"/>
      <c r="X816" s="270">
        <f t="shared" ca="1" si="40"/>
        <v>0</v>
      </c>
      <c r="Y816" s="270"/>
      <c r="Z816" s="270"/>
      <c r="AB816" s="272" t="str">
        <f t="shared" si="41"/>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9"/>
        <v/>
      </c>
      <c r="T817" s="224" t="str">
        <f ca="1">IF(B817="","",IF(ISERROR(MATCH($J817,SorP!$B$1:$B$6230,0)),"",INDIRECT("'SorP'!$A$"&amp;MATCH($J817,SorP!$B$1:$B$6230,0))))</f>
        <v/>
      </c>
      <c r="U817" s="239"/>
      <c r="V817" s="269" t="e">
        <f>IF(C817="",NA(),MATCH($B817&amp;$C817,'Smelter Look-up'!$J:$J,0))</f>
        <v>#N/A</v>
      </c>
      <c r="W817" s="270"/>
      <c r="X817" s="270">
        <f t="shared" ca="1" si="40"/>
        <v>0</v>
      </c>
      <c r="Y817" s="270"/>
      <c r="Z817" s="270"/>
      <c r="AB817" s="272" t="str">
        <f t="shared" si="41"/>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9"/>
        <v/>
      </c>
      <c r="T818" s="224" t="str">
        <f ca="1">IF(B818="","",IF(ISERROR(MATCH($J818,SorP!$B$1:$B$6230,0)),"",INDIRECT("'SorP'!$A$"&amp;MATCH($J818,SorP!$B$1:$B$6230,0))))</f>
        <v/>
      </c>
      <c r="U818" s="239"/>
      <c r="V818" s="269" t="e">
        <f>IF(C818="",NA(),MATCH($B818&amp;$C818,'Smelter Look-up'!$J:$J,0))</f>
        <v>#N/A</v>
      </c>
      <c r="W818" s="270"/>
      <c r="X818" s="270">
        <f t="shared" ca="1" si="40"/>
        <v>0</v>
      </c>
      <c r="Y818" s="270"/>
      <c r="Z818" s="270"/>
      <c r="AB818" s="272" t="str">
        <f t="shared" si="41"/>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9"/>
        <v/>
      </c>
      <c r="T819" s="224" t="str">
        <f ca="1">IF(B819="","",IF(ISERROR(MATCH($J819,SorP!$B$1:$B$6230,0)),"",INDIRECT("'SorP'!$A$"&amp;MATCH($J819,SorP!$B$1:$B$6230,0))))</f>
        <v/>
      </c>
      <c r="U819" s="239"/>
      <c r="V819" s="269" t="e">
        <f>IF(C819="",NA(),MATCH($B819&amp;$C819,'Smelter Look-up'!$J:$J,0))</f>
        <v>#N/A</v>
      </c>
      <c r="W819" s="270"/>
      <c r="X819" s="270">
        <f t="shared" ca="1" si="40"/>
        <v>0</v>
      </c>
      <c r="Y819" s="270"/>
      <c r="Z819" s="270"/>
      <c r="AB819" s="272" t="str">
        <f t="shared" si="41"/>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9"/>
        <v/>
      </c>
      <c r="T820" s="224" t="str">
        <f ca="1">IF(B820="","",IF(ISERROR(MATCH($J820,SorP!$B$1:$B$6230,0)),"",INDIRECT("'SorP'!$A$"&amp;MATCH($J820,SorP!$B$1:$B$6230,0))))</f>
        <v/>
      </c>
      <c r="U820" s="239"/>
      <c r="V820" s="269" t="e">
        <f>IF(C820="",NA(),MATCH($B820&amp;$C820,'Smelter Look-up'!$J:$J,0))</f>
        <v>#N/A</v>
      </c>
      <c r="W820" s="270"/>
      <c r="X820" s="270">
        <f t="shared" ca="1" si="40"/>
        <v>0</v>
      </c>
      <c r="Y820" s="270"/>
      <c r="Z820" s="270"/>
      <c r="AB820" s="272" t="str">
        <f t="shared" si="41"/>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39"/>
        <v/>
      </c>
      <c r="T821" s="224" t="str">
        <f ca="1">IF(B821="","",IF(ISERROR(MATCH($J821,SorP!$B$1:$B$6230,0)),"",INDIRECT("'SorP'!$A$"&amp;MATCH($J821,SorP!$B$1:$B$6230,0))))</f>
        <v/>
      </c>
      <c r="U821" s="239"/>
      <c r="V821" s="269" t="e">
        <f>IF(C821="",NA(),MATCH($B821&amp;$C821,'Smelter Look-up'!$J:$J,0))</f>
        <v>#N/A</v>
      </c>
      <c r="W821" s="270"/>
      <c r="X821" s="270">
        <f t="shared" ca="1" si="40"/>
        <v>0</v>
      </c>
      <c r="Y821" s="270"/>
      <c r="Z821" s="270"/>
      <c r="AB821" s="272" t="str">
        <f t="shared" si="41"/>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39"/>
        <v/>
      </c>
      <c r="T822" s="224" t="str">
        <f ca="1">IF(B822="","",IF(ISERROR(MATCH($J822,SorP!$B$1:$B$6230,0)),"",INDIRECT("'SorP'!$A$"&amp;MATCH($J822,SorP!$B$1:$B$6230,0))))</f>
        <v/>
      </c>
      <c r="U822" s="239"/>
      <c r="V822" s="269" t="e">
        <f>IF(C822="",NA(),MATCH($B822&amp;$C822,'Smelter Look-up'!$J:$J,0))</f>
        <v>#N/A</v>
      </c>
      <c r="W822" s="270"/>
      <c r="X822" s="270">
        <f t="shared" ca="1" si="40"/>
        <v>0</v>
      </c>
      <c r="Y822" s="270"/>
      <c r="Z822" s="270"/>
      <c r="AB822" s="272" t="str">
        <f t="shared" si="41"/>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39"/>
        <v/>
      </c>
      <c r="T823" s="224" t="str">
        <f ca="1">IF(B823="","",IF(ISERROR(MATCH($J823,SorP!$B$1:$B$6230,0)),"",INDIRECT("'SorP'!$A$"&amp;MATCH($J823,SorP!$B$1:$B$6230,0))))</f>
        <v/>
      </c>
      <c r="U823" s="239"/>
      <c r="V823" s="269" t="e">
        <f>IF(C823="",NA(),MATCH($B823&amp;$C823,'Smelter Look-up'!$J:$J,0))</f>
        <v>#N/A</v>
      </c>
      <c r="W823" s="270"/>
      <c r="X823" s="270">
        <f t="shared" ca="1" si="40"/>
        <v>0</v>
      </c>
      <c r="Y823" s="270"/>
      <c r="Z823" s="270"/>
      <c r="AB823" s="272" t="str">
        <f t="shared" si="41"/>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39"/>
        <v/>
      </c>
      <c r="T824" s="224" t="str">
        <f ca="1">IF(B824="","",IF(ISERROR(MATCH($J824,SorP!$B$1:$B$6230,0)),"",INDIRECT("'SorP'!$A$"&amp;MATCH($J824,SorP!$B$1:$B$6230,0))))</f>
        <v/>
      </c>
      <c r="U824" s="239"/>
      <c r="V824" s="269" t="e">
        <f>IF(C824="",NA(),MATCH($B824&amp;$C824,'Smelter Look-up'!$J:$J,0))</f>
        <v>#N/A</v>
      </c>
      <c r="W824" s="270"/>
      <c r="X824" s="270">
        <f t="shared" ca="1" si="40"/>
        <v>0</v>
      </c>
      <c r="Y824" s="270"/>
      <c r="Z824" s="270"/>
      <c r="AB824" s="272" t="str">
        <f t="shared" si="41"/>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39"/>
        <v/>
      </c>
      <c r="T825" s="224" t="str">
        <f ca="1">IF(B825="","",IF(ISERROR(MATCH($J825,SorP!$B$1:$B$6230,0)),"",INDIRECT("'SorP'!$A$"&amp;MATCH($J825,SorP!$B$1:$B$6230,0))))</f>
        <v/>
      </c>
      <c r="U825" s="239"/>
      <c r="V825" s="269" t="e">
        <f>IF(C825="",NA(),MATCH($B825&amp;$C825,'Smelter Look-up'!$J:$J,0))</f>
        <v>#N/A</v>
      </c>
      <c r="W825" s="270"/>
      <c r="X825" s="270">
        <f t="shared" ca="1" si="40"/>
        <v>0</v>
      </c>
      <c r="Y825" s="270"/>
      <c r="Z825" s="270"/>
      <c r="AB825" s="272" t="str">
        <f t="shared" si="41"/>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39"/>
        <v/>
      </c>
      <c r="T826" s="224" t="str">
        <f ca="1">IF(B826="","",IF(ISERROR(MATCH($J826,SorP!$B$1:$B$6230,0)),"",INDIRECT("'SorP'!$A$"&amp;MATCH($J826,SorP!$B$1:$B$6230,0))))</f>
        <v/>
      </c>
      <c r="U826" s="239"/>
      <c r="V826" s="269" t="e">
        <f>IF(C826="",NA(),MATCH($B826&amp;$C826,'Smelter Look-up'!$J:$J,0))</f>
        <v>#N/A</v>
      </c>
      <c r="W826" s="270"/>
      <c r="X826" s="270">
        <f t="shared" ca="1" si="40"/>
        <v>0</v>
      </c>
      <c r="Y826" s="270"/>
      <c r="Z826" s="270"/>
      <c r="AB826" s="272" t="str">
        <f t="shared" si="41"/>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2">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3">IF(AND(C827="Smelter not listed",OR(LEN(D827)=0,LEN(E827)=0)),1,0)</f>
        <v>0</v>
      </c>
      <c r="Y827" s="270"/>
      <c r="Z827" s="270"/>
      <c r="AB827" s="272" t="str">
        <f t="shared" ref="AB827:AB890" si="44">B827&amp;C827</f>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2"/>
        <v/>
      </c>
      <c r="T876" s="224" t="str">
        <f ca="1">IF(B876="","",IF(ISERROR(MATCH($J876,SorP!$B$1:$B$6230,0)),"",INDIRECT("'SorP'!$A$"&amp;MATCH($J876,SorP!$B$1:$B$6230,0))))</f>
        <v/>
      </c>
      <c r="U876" s="239"/>
      <c r="V876" s="269" t="e">
        <f>IF(C876="",NA(),MATCH($B876&amp;$C876,'Smelter Look-up'!$J:$J,0))</f>
        <v>#N/A</v>
      </c>
      <c r="W876" s="270"/>
      <c r="X876" s="270">
        <f t="shared" ca="1" si="43"/>
        <v>0</v>
      </c>
      <c r="Y876" s="270"/>
      <c r="Z876" s="270"/>
      <c r="AB876" s="272" t="str">
        <f t="shared" si="44"/>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2"/>
        <v/>
      </c>
      <c r="T877" s="224" t="str">
        <f ca="1">IF(B877="","",IF(ISERROR(MATCH($J877,SorP!$B$1:$B$6230,0)),"",INDIRECT("'SorP'!$A$"&amp;MATCH($J877,SorP!$B$1:$B$6230,0))))</f>
        <v/>
      </c>
      <c r="U877" s="239"/>
      <c r="V877" s="269" t="e">
        <f>IF(C877="",NA(),MATCH($B877&amp;$C877,'Smelter Look-up'!$J:$J,0))</f>
        <v>#N/A</v>
      </c>
      <c r="W877" s="270"/>
      <c r="X877" s="270">
        <f t="shared" ca="1" si="43"/>
        <v>0</v>
      </c>
      <c r="Y877" s="270"/>
      <c r="Z877" s="270"/>
      <c r="AB877" s="272" t="str">
        <f t="shared" si="44"/>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2"/>
        <v/>
      </c>
      <c r="T878" s="224" t="str">
        <f ca="1">IF(B878="","",IF(ISERROR(MATCH($J878,SorP!$B$1:$B$6230,0)),"",INDIRECT("'SorP'!$A$"&amp;MATCH($J878,SorP!$B$1:$B$6230,0))))</f>
        <v/>
      </c>
      <c r="U878" s="239"/>
      <c r="V878" s="269" t="e">
        <f>IF(C878="",NA(),MATCH($B878&amp;$C878,'Smelter Look-up'!$J:$J,0))</f>
        <v>#N/A</v>
      </c>
      <c r="W878" s="270"/>
      <c r="X878" s="270">
        <f t="shared" ca="1" si="43"/>
        <v>0</v>
      </c>
      <c r="Y878" s="270"/>
      <c r="Z878" s="270"/>
      <c r="AB878" s="272" t="str">
        <f t="shared" si="44"/>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2"/>
        <v/>
      </c>
      <c r="T879" s="224" t="str">
        <f ca="1">IF(B879="","",IF(ISERROR(MATCH($J879,SorP!$B$1:$B$6230,0)),"",INDIRECT("'SorP'!$A$"&amp;MATCH($J879,SorP!$B$1:$B$6230,0))))</f>
        <v/>
      </c>
      <c r="U879" s="239"/>
      <c r="V879" s="269" t="e">
        <f>IF(C879="",NA(),MATCH($B879&amp;$C879,'Smelter Look-up'!$J:$J,0))</f>
        <v>#N/A</v>
      </c>
      <c r="W879" s="270"/>
      <c r="X879" s="270">
        <f t="shared" ca="1" si="43"/>
        <v>0</v>
      </c>
      <c r="Y879" s="270"/>
      <c r="Z879" s="270"/>
      <c r="AB879" s="272" t="str">
        <f t="shared" si="44"/>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2"/>
        <v/>
      </c>
      <c r="T880" s="224" t="str">
        <f ca="1">IF(B880="","",IF(ISERROR(MATCH($J880,SorP!$B$1:$B$6230,0)),"",INDIRECT("'SorP'!$A$"&amp;MATCH($J880,SorP!$B$1:$B$6230,0))))</f>
        <v/>
      </c>
      <c r="U880" s="239"/>
      <c r="V880" s="269" t="e">
        <f>IF(C880="",NA(),MATCH($B880&amp;$C880,'Smelter Look-up'!$J:$J,0))</f>
        <v>#N/A</v>
      </c>
      <c r="W880" s="270"/>
      <c r="X880" s="270">
        <f t="shared" ca="1" si="43"/>
        <v>0</v>
      </c>
      <c r="Y880" s="270"/>
      <c r="Z880" s="270"/>
      <c r="AB880" s="272" t="str">
        <f t="shared" si="44"/>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2"/>
        <v/>
      </c>
      <c r="T881" s="224" t="str">
        <f ca="1">IF(B881="","",IF(ISERROR(MATCH($J881,SorP!$B$1:$B$6230,0)),"",INDIRECT("'SorP'!$A$"&amp;MATCH($J881,SorP!$B$1:$B$6230,0))))</f>
        <v/>
      </c>
      <c r="U881" s="239"/>
      <c r="V881" s="269" t="e">
        <f>IF(C881="",NA(),MATCH($B881&amp;$C881,'Smelter Look-up'!$J:$J,0))</f>
        <v>#N/A</v>
      </c>
      <c r="W881" s="270"/>
      <c r="X881" s="270">
        <f t="shared" ca="1" si="43"/>
        <v>0</v>
      </c>
      <c r="Y881" s="270"/>
      <c r="Z881" s="270"/>
      <c r="AB881" s="272" t="str">
        <f t="shared" si="44"/>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2"/>
        <v/>
      </c>
      <c r="T882" s="224" t="str">
        <f ca="1">IF(B882="","",IF(ISERROR(MATCH($J882,SorP!$B$1:$B$6230,0)),"",INDIRECT("'SorP'!$A$"&amp;MATCH($J882,SorP!$B$1:$B$6230,0))))</f>
        <v/>
      </c>
      <c r="U882" s="239"/>
      <c r="V882" s="269" t="e">
        <f>IF(C882="",NA(),MATCH($B882&amp;$C882,'Smelter Look-up'!$J:$J,0))</f>
        <v>#N/A</v>
      </c>
      <c r="W882" s="270"/>
      <c r="X882" s="270">
        <f t="shared" ca="1" si="43"/>
        <v>0</v>
      </c>
      <c r="Y882" s="270"/>
      <c r="Z882" s="270"/>
      <c r="AB882" s="272" t="str">
        <f t="shared" si="44"/>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2"/>
        <v/>
      </c>
      <c r="T883" s="224" t="str">
        <f ca="1">IF(B883="","",IF(ISERROR(MATCH($J883,SorP!$B$1:$B$6230,0)),"",INDIRECT("'SorP'!$A$"&amp;MATCH($J883,SorP!$B$1:$B$6230,0))))</f>
        <v/>
      </c>
      <c r="U883" s="239"/>
      <c r="V883" s="269" t="e">
        <f>IF(C883="",NA(),MATCH($B883&amp;$C883,'Smelter Look-up'!$J:$J,0))</f>
        <v>#N/A</v>
      </c>
      <c r="W883" s="270"/>
      <c r="X883" s="270">
        <f t="shared" ca="1" si="43"/>
        <v>0</v>
      </c>
      <c r="Y883" s="270"/>
      <c r="Z883" s="270"/>
      <c r="AB883" s="272" t="str">
        <f t="shared" si="44"/>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2"/>
        <v/>
      </c>
      <c r="T884" s="224" t="str">
        <f ca="1">IF(B884="","",IF(ISERROR(MATCH($J884,SorP!$B$1:$B$6230,0)),"",INDIRECT("'SorP'!$A$"&amp;MATCH($J884,SorP!$B$1:$B$6230,0))))</f>
        <v/>
      </c>
      <c r="U884" s="239"/>
      <c r="V884" s="269" t="e">
        <f>IF(C884="",NA(),MATCH($B884&amp;$C884,'Smelter Look-up'!$J:$J,0))</f>
        <v>#N/A</v>
      </c>
      <c r="W884" s="270"/>
      <c r="X884" s="270">
        <f t="shared" ca="1" si="43"/>
        <v>0</v>
      </c>
      <c r="Y884" s="270"/>
      <c r="Z884" s="270"/>
      <c r="AB884" s="272" t="str">
        <f t="shared" si="44"/>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2"/>
        <v/>
      </c>
      <c r="T885" s="224" t="str">
        <f ca="1">IF(B885="","",IF(ISERROR(MATCH($J885,SorP!$B$1:$B$6230,0)),"",INDIRECT("'SorP'!$A$"&amp;MATCH($J885,SorP!$B$1:$B$6230,0))))</f>
        <v/>
      </c>
      <c r="U885" s="239"/>
      <c r="V885" s="269" t="e">
        <f>IF(C885="",NA(),MATCH($B885&amp;$C885,'Smelter Look-up'!$J:$J,0))</f>
        <v>#N/A</v>
      </c>
      <c r="W885" s="270"/>
      <c r="X885" s="270">
        <f t="shared" ca="1" si="43"/>
        <v>0</v>
      </c>
      <c r="Y885" s="270"/>
      <c r="Z885" s="270"/>
      <c r="AB885" s="272" t="str">
        <f t="shared" si="44"/>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2"/>
        <v/>
      </c>
      <c r="T886" s="224" t="str">
        <f ca="1">IF(B886="","",IF(ISERROR(MATCH($J886,SorP!$B$1:$B$6230,0)),"",INDIRECT("'SorP'!$A$"&amp;MATCH($J886,SorP!$B$1:$B$6230,0))))</f>
        <v/>
      </c>
      <c r="U886" s="239"/>
      <c r="V886" s="269" t="e">
        <f>IF(C886="",NA(),MATCH($B886&amp;$C886,'Smelter Look-up'!$J:$J,0))</f>
        <v>#N/A</v>
      </c>
      <c r="W886" s="270"/>
      <c r="X886" s="270">
        <f t="shared" ca="1" si="43"/>
        <v>0</v>
      </c>
      <c r="Y886" s="270"/>
      <c r="Z886" s="270"/>
      <c r="AB886" s="272" t="str">
        <f t="shared" si="44"/>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2"/>
        <v/>
      </c>
      <c r="T887" s="224" t="str">
        <f ca="1">IF(B887="","",IF(ISERROR(MATCH($J887,SorP!$B$1:$B$6230,0)),"",INDIRECT("'SorP'!$A$"&amp;MATCH($J887,SorP!$B$1:$B$6230,0))))</f>
        <v/>
      </c>
      <c r="U887" s="239"/>
      <c r="V887" s="269" t="e">
        <f>IF(C887="",NA(),MATCH($B887&amp;$C887,'Smelter Look-up'!$J:$J,0))</f>
        <v>#N/A</v>
      </c>
      <c r="W887" s="270"/>
      <c r="X887" s="270">
        <f t="shared" ca="1" si="43"/>
        <v>0</v>
      </c>
      <c r="Y887" s="270"/>
      <c r="Z887" s="270"/>
      <c r="AB887" s="272" t="str">
        <f t="shared" si="44"/>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2"/>
        <v/>
      </c>
      <c r="T888" s="224" t="str">
        <f ca="1">IF(B888="","",IF(ISERROR(MATCH($J888,SorP!$B$1:$B$6230,0)),"",INDIRECT("'SorP'!$A$"&amp;MATCH($J888,SorP!$B$1:$B$6230,0))))</f>
        <v/>
      </c>
      <c r="U888" s="239"/>
      <c r="V888" s="269" t="e">
        <f>IF(C888="",NA(),MATCH($B888&amp;$C888,'Smelter Look-up'!$J:$J,0))</f>
        <v>#N/A</v>
      </c>
      <c r="W888" s="270"/>
      <c r="X888" s="270">
        <f t="shared" ca="1" si="43"/>
        <v>0</v>
      </c>
      <c r="Y888" s="270"/>
      <c r="Z888" s="270"/>
      <c r="AB888" s="272" t="str">
        <f t="shared" si="44"/>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2"/>
        <v/>
      </c>
      <c r="T889" s="224" t="str">
        <f ca="1">IF(B889="","",IF(ISERROR(MATCH($J889,SorP!$B$1:$B$6230,0)),"",INDIRECT("'SorP'!$A$"&amp;MATCH($J889,SorP!$B$1:$B$6230,0))))</f>
        <v/>
      </c>
      <c r="U889" s="239"/>
      <c r="V889" s="269" t="e">
        <f>IF(C889="",NA(),MATCH($B889&amp;$C889,'Smelter Look-up'!$J:$J,0))</f>
        <v>#N/A</v>
      </c>
      <c r="W889" s="270"/>
      <c r="X889" s="270">
        <f t="shared" ca="1" si="43"/>
        <v>0</v>
      </c>
      <c r="Y889" s="270"/>
      <c r="Z889" s="270"/>
      <c r="AB889" s="272" t="str">
        <f t="shared" si="44"/>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2"/>
        <v/>
      </c>
      <c r="T890" s="224" t="str">
        <f ca="1">IF(B890="","",IF(ISERROR(MATCH($J890,SorP!$B$1:$B$6230,0)),"",INDIRECT("'SorP'!$A$"&amp;MATCH($J890,SorP!$B$1:$B$6230,0))))</f>
        <v/>
      </c>
      <c r="U890" s="239"/>
      <c r="V890" s="269" t="e">
        <f>IF(C890="",NA(),MATCH($B890&amp;$C890,'Smelter Look-up'!$J:$J,0))</f>
        <v>#N/A</v>
      </c>
      <c r="W890" s="270"/>
      <c r="X890" s="270">
        <f t="shared" ca="1" si="43"/>
        <v>0</v>
      </c>
      <c r="Y890" s="270"/>
      <c r="Z890" s="270"/>
      <c r="AB890" s="272" t="str">
        <f t="shared" si="44"/>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5">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6">IF(AND(C891="Smelter not listed",OR(LEN(D891)=0,LEN(E891)=0)),1,0)</f>
        <v>0</v>
      </c>
      <c r="Y891" s="270"/>
      <c r="Z891" s="270"/>
      <c r="AB891" s="272" t="str">
        <f t="shared" ref="AB891:AB954" si="47">B891&amp;C891</f>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5"/>
        <v/>
      </c>
      <c r="T940" s="224" t="str">
        <f ca="1">IF(B940="","",IF(ISERROR(MATCH($J940,SorP!$B$1:$B$6230,0)),"",INDIRECT("'SorP'!$A$"&amp;MATCH($J940,SorP!$B$1:$B$6230,0))))</f>
        <v/>
      </c>
      <c r="U940" s="239"/>
      <c r="V940" s="269" t="e">
        <f>IF(C940="",NA(),MATCH($B940&amp;$C940,'Smelter Look-up'!$J:$J,0))</f>
        <v>#N/A</v>
      </c>
      <c r="W940" s="270"/>
      <c r="X940" s="270">
        <f t="shared" ca="1" si="46"/>
        <v>0</v>
      </c>
      <c r="Y940" s="270"/>
      <c r="Z940" s="270"/>
      <c r="AB940" s="272" t="str">
        <f t="shared" si="47"/>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5"/>
        <v/>
      </c>
      <c r="T941" s="224" t="str">
        <f ca="1">IF(B941="","",IF(ISERROR(MATCH($J941,SorP!$B$1:$B$6230,0)),"",INDIRECT("'SorP'!$A$"&amp;MATCH($J941,SorP!$B$1:$B$6230,0))))</f>
        <v/>
      </c>
      <c r="U941" s="239"/>
      <c r="V941" s="269" t="e">
        <f>IF(C941="",NA(),MATCH($B941&amp;$C941,'Smelter Look-up'!$J:$J,0))</f>
        <v>#N/A</v>
      </c>
      <c r="W941" s="270"/>
      <c r="X941" s="270">
        <f t="shared" ca="1" si="46"/>
        <v>0</v>
      </c>
      <c r="Y941" s="270"/>
      <c r="Z941" s="270"/>
      <c r="AB941" s="272" t="str">
        <f t="shared" si="47"/>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5"/>
        <v/>
      </c>
      <c r="T942" s="224" t="str">
        <f ca="1">IF(B942="","",IF(ISERROR(MATCH($J942,SorP!$B$1:$B$6230,0)),"",INDIRECT("'SorP'!$A$"&amp;MATCH($J942,SorP!$B$1:$B$6230,0))))</f>
        <v/>
      </c>
      <c r="U942" s="239"/>
      <c r="V942" s="269" t="e">
        <f>IF(C942="",NA(),MATCH($B942&amp;$C942,'Smelter Look-up'!$J:$J,0))</f>
        <v>#N/A</v>
      </c>
      <c r="W942" s="270"/>
      <c r="X942" s="270">
        <f t="shared" ca="1" si="46"/>
        <v>0</v>
      </c>
      <c r="Y942" s="270"/>
      <c r="Z942" s="270"/>
      <c r="AB942" s="272" t="str">
        <f t="shared" si="47"/>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5"/>
        <v/>
      </c>
      <c r="T943" s="224" t="str">
        <f ca="1">IF(B943="","",IF(ISERROR(MATCH($J943,SorP!$B$1:$B$6230,0)),"",INDIRECT("'SorP'!$A$"&amp;MATCH($J943,SorP!$B$1:$B$6230,0))))</f>
        <v/>
      </c>
      <c r="U943" s="239"/>
      <c r="V943" s="269" t="e">
        <f>IF(C943="",NA(),MATCH($B943&amp;$C943,'Smelter Look-up'!$J:$J,0))</f>
        <v>#N/A</v>
      </c>
      <c r="W943" s="270"/>
      <c r="X943" s="270">
        <f t="shared" ca="1" si="46"/>
        <v>0</v>
      </c>
      <c r="Y943" s="270"/>
      <c r="Z943" s="270"/>
      <c r="AB943" s="272" t="str">
        <f t="shared" si="47"/>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5"/>
        <v/>
      </c>
      <c r="T944" s="224" t="str">
        <f ca="1">IF(B944="","",IF(ISERROR(MATCH($J944,SorP!$B$1:$B$6230,0)),"",INDIRECT("'SorP'!$A$"&amp;MATCH($J944,SorP!$B$1:$B$6230,0))))</f>
        <v/>
      </c>
      <c r="U944" s="239"/>
      <c r="V944" s="269" t="e">
        <f>IF(C944="",NA(),MATCH($B944&amp;$C944,'Smelter Look-up'!$J:$J,0))</f>
        <v>#N/A</v>
      </c>
      <c r="W944" s="270"/>
      <c r="X944" s="270">
        <f t="shared" ca="1" si="46"/>
        <v>0</v>
      </c>
      <c r="Y944" s="270"/>
      <c r="Z944" s="270"/>
      <c r="AB944" s="272" t="str">
        <f t="shared" si="47"/>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5"/>
        <v/>
      </c>
      <c r="T945" s="224" t="str">
        <f ca="1">IF(B945="","",IF(ISERROR(MATCH($J945,SorP!$B$1:$B$6230,0)),"",INDIRECT("'SorP'!$A$"&amp;MATCH($J945,SorP!$B$1:$B$6230,0))))</f>
        <v/>
      </c>
      <c r="U945" s="239"/>
      <c r="V945" s="269" t="e">
        <f>IF(C945="",NA(),MATCH($B945&amp;$C945,'Smelter Look-up'!$J:$J,0))</f>
        <v>#N/A</v>
      </c>
      <c r="W945" s="270"/>
      <c r="X945" s="270">
        <f t="shared" ca="1" si="46"/>
        <v>0</v>
      </c>
      <c r="Y945" s="270"/>
      <c r="Z945" s="270"/>
      <c r="AB945" s="272" t="str">
        <f t="shared" si="47"/>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5"/>
        <v/>
      </c>
      <c r="T946" s="224" t="str">
        <f ca="1">IF(B946="","",IF(ISERROR(MATCH($J946,SorP!$B$1:$B$6230,0)),"",INDIRECT("'SorP'!$A$"&amp;MATCH($J946,SorP!$B$1:$B$6230,0))))</f>
        <v/>
      </c>
      <c r="U946" s="239"/>
      <c r="V946" s="269" t="e">
        <f>IF(C946="",NA(),MATCH($B946&amp;$C946,'Smelter Look-up'!$J:$J,0))</f>
        <v>#N/A</v>
      </c>
      <c r="W946" s="270"/>
      <c r="X946" s="270">
        <f t="shared" ca="1" si="46"/>
        <v>0</v>
      </c>
      <c r="Y946" s="270"/>
      <c r="Z946" s="270"/>
      <c r="AB946" s="272" t="str">
        <f t="shared" si="47"/>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5"/>
        <v/>
      </c>
      <c r="T947" s="224" t="str">
        <f ca="1">IF(B947="","",IF(ISERROR(MATCH($J947,SorP!$B$1:$B$6230,0)),"",INDIRECT("'SorP'!$A$"&amp;MATCH($J947,SorP!$B$1:$B$6230,0))))</f>
        <v/>
      </c>
      <c r="U947" s="239"/>
      <c r="V947" s="269" t="e">
        <f>IF(C947="",NA(),MATCH($B947&amp;$C947,'Smelter Look-up'!$J:$J,0))</f>
        <v>#N/A</v>
      </c>
      <c r="W947" s="270"/>
      <c r="X947" s="270">
        <f t="shared" ca="1" si="46"/>
        <v>0</v>
      </c>
      <c r="Y947" s="270"/>
      <c r="Z947" s="270"/>
      <c r="AB947" s="272" t="str">
        <f t="shared" si="47"/>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5"/>
        <v/>
      </c>
      <c r="T948" s="224" t="str">
        <f ca="1">IF(B948="","",IF(ISERROR(MATCH($J948,SorP!$B$1:$B$6230,0)),"",INDIRECT("'SorP'!$A$"&amp;MATCH($J948,SorP!$B$1:$B$6230,0))))</f>
        <v/>
      </c>
      <c r="U948" s="239"/>
      <c r="V948" s="269" t="e">
        <f>IF(C948="",NA(),MATCH($B948&amp;$C948,'Smelter Look-up'!$J:$J,0))</f>
        <v>#N/A</v>
      </c>
      <c r="W948" s="270"/>
      <c r="X948" s="270">
        <f t="shared" ca="1" si="46"/>
        <v>0</v>
      </c>
      <c r="Y948" s="270"/>
      <c r="Z948" s="270"/>
      <c r="AB948" s="272" t="str">
        <f t="shared" si="47"/>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5"/>
        <v/>
      </c>
      <c r="T949" s="224" t="str">
        <f ca="1">IF(B949="","",IF(ISERROR(MATCH($J949,SorP!$B$1:$B$6230,0)),"",INDIRECT("'SorP'!$A$"&amp;MATCH($J949,SorP!$B$1:$B$6230,0))))</f>
        <v/>
      </c>
      <c r="U949" s="239"/>
      <c r="V949" s="269" t="e">
        <f>IF(C949="",NA(),MATCH($B949&amp;$C949,'Smelter Look-up'!$J:$J,0))</f>
        <v>#N/A</v>
      </c>
      <c r="W949" s="270"/>
      <c r="X949" s="270">
        <f t="shared" ca="1" si="46"/>
        <v>0</v>
      </c>
      <c r="Y949" s="270"/>
      <c r="Z949" s="270"/>
      <c r="AB949" s="272" t="str">
        <f t="shared" si="47"/>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5"/>
        <v/>
      </c>
      <c r="T950" s="224" t="str">
        <f ca="1">IF(B950="","",IF(ISERROR(MATCH($J950,SorP!$B$1:$B$6230,0)),"",INDIRECT("'SorP'!$A$"&amp;MATCH($J950,SorP!$B$1:$B$6230,0))))</f>
        <v/>
      </c>
      <c r="U950" s="239"/>
      <c r="V950" s="269" t="e">
        <f>IF(C950="",NA(),MATCH($B950&amp;$C950,'Smelter Look-up'!$J:$J,0))</f>
        <v>#N/A</v>
      </c>
      <c r="W950" s="270"/>
      <c r="X950" s="270">
        <f t="shared" ca="1" si="46"/>
        <v>0</v>
      </c>
      <c r="Y950" s="270"/>
      <c r="Z950" s="270"/>
      <c r="AB950" s="272" t="str">
        <f t="shared" si="47"/>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5"/>
        <v/>
      </c>
      <c r="T951" s="224" t="str">
        <f ca="1">IF(B951="","",IF(ISERROR(MATCH($J951,SorP!$B$1:$B$6230,0)),"",INDIRECT("'SorP'!$A$"&amp;MATCH($J951,SorP!$B$1:$B$6230,0))))</f>
        <v/>
      </c>
      <c r="U951" s="239"/>
      <c r="V951" s="269" t="e">
        <f>IF(C951="",NA(),MATCH($B951&amp;$C951,'Smelter Look-up'!$J:$J,0))</f>
        <v>#N/A</v>
      </c>
      <c r="W951" s="270"/>
      <c r="X951" s="270">
        <f t="shared" ca="1" si="46"/>
        <v>0</v>
      </c>
      <c r="Y951" s="270"/>
      <c r="Z951" s="270"/>
      <c r="AB951" s="272" t="str">
        <f t="shared" si="47"/>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5"/>
        <v/>
      </c>
      <c r="T952" s="224" t="str">
        <f ca="1">IF(B952="","",IF(ISERROR(MATCH($J952,SorP!$B$1:$B$6230,0)),"",INDIRECT("'SorP'!$A$"&amp;MATCH($J952,SorP!$B$1:$B$6230,0))))</f>
        <v/>
      </c>
      <c r="U952" s="239"/>
      <c r="V952" s="269" t="e">
        <f>IF(C952="",NA(),MATCH($B952&amp;$C952,'Smelter Look-up'!$J:$J,0))</f>
        <v>#N/A</v>
      </c>
      <c r="W952" s="270"/>
      <c r="X952" s="270">
        <f t="shared" ca="1" si="46"/>
        <v>0</v>
      </c>
      <c r="Y952" s="270"/>
      <c r="Z952" s="270"/>
      <c r="AB952" s="272" t="str">
        <f t="shared" si="47"/>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5"/>
        <v/>
      </c>
      <c r="T953" s="224" t="str">
        <f ca="1">IF(B953="","",IF(ISERROR(MATCH($J953,SorP!$B$1:$B$6230,0)),"",INDIRECT("'SorP'!$A$"&amp;MATCH($J953,SorP!$B$1:$B$6230,0))))</f>
        <v/>
      </c>
      <c r="U953" s="239"/>
      <c r="V953" s="269" t="e">
        <f>IF(C953="",NA(),MATCH($B953&amp;$C953,'Smelter Look-up'!$J:$J,0))</f>
        <v>#N/A</v>
      </c>
      <c r="W953" s="270"/>
      <c r="X953" s="270">
        <f t="shared" ca="1" si="46"/>
        <v>0</v>
      </c>
      <c r="Y953" s="270"/>
      <c r="Z953" s="270"/>
      <c r="AB953" s="272" t="str">
        <f t="shared" si="47"/>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5"/>
        <v/>
      </c>
      <c r="T954" s="224" t="str">
        <f ca="1">IF(B954="","",IF(ISERROR(MATCH($J954,SorP!$B$1:$B$6230,0)),"",INDIRECT("'SorP'!$A$"&amp;MATCH($J954,SorP!$B$1:$B$6230,0))))</f>
        <v/>
      </c>
      <c r="U954" s="239"/>
      <c r="V954" s="269" t="e">
        <f>IF(C954="",NA(),MATCH($B954&amp;$C954,'Smelter Look-up'!$J:$J,0))</f>
        <v>#N/A</v>
      </c>
      <c r="W954" s="270"/>
      <c r="X954" s="270">
        <f t="shared" ca="1" si="46"/>
        <v>0</v>
      </c>
      <c r="Y954" s="270"/>
      <c r="Z954" s="270"/>
      <c r="AB954" s="272" t="str">
        <f t="shared" si="47"/>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48">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49">IF(AND(C955="Smelter not listed",OR(LEN(D955)=0,LEN(E955)=0)),1,0)</f>
        <v>0</v>
      </c>
      <c r="Y955" s="270"/>
      <c r="Z955" s="270"/>
      <c r="AB955" s="272" t="str">
        <f t="shared" ref="AB955:AB1018" si="50">B955&amp;C955</f>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8"/>
        <v/>
      </c>
      <c r="T1004" s="224" t="str">
        <f ca="1">IF(B1004="","",IF(ISERROR(MATCH($J1004,SorP!$B$1:$B$6230,0)),"",INDIRECT("'SorP'!$A$"&amp;MATCH($J1004,SorP!$B$1:$B$6230,0))))</f>
        <v/>
      </c>
      <c r="U1004" s="239"/>
      <c r="V1004" s="269" t="e">
        <f>IF(C1004="",NA(),MATCH($B1004&amp;$C1004,'Smelter Look-up'!$J:$J,0))</f>
        <v>#N/A</v>
      </c>
      <c r="W1004" s="270"/>
      <c r="X1004" s="270">
        <f t="shared" ca="1" si="49"/>
        <v>0</v>
      </c>
      <c r="Y1004" s="270"/>
      <c r="Z1004" s="270"/>
      <c r="AB1004" s="272" t="str">
        <f t="shared" si="50"/>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8"/>
        <v/>
      </c>
      <c r="T1005" s="224" t="str">
        <f ca="1">IF(B1005="","",IF(ISERROR(MATCH($J1005,SorP!$B$1:$B$6230,0)),"",INDIRECT("'SorP'!$A$"&amp;MATCH($J1005,SorP!$B$1:$B$6230,0))))</f>
        <v/>
      </c>
      <c r="U1005" s="239"/>
      <c r="V1005" s="269" t="e">
        <f>IF(C1005="",NA(),MATCH($B1005&amp;$C1005,'Smelter Look-up'!$J:$J,0))</f>
        <v>#N/A</v>
      </c>
      <c r="W1005" s="270"/>
      <c r="X1005" s="270">
        <f t="shared" ca="1" si="49"/>
        <v>0</v>
      </c>
      <c r="Y1005" s="270"/>
      <c r="Z1005" s="270"/>
      <c r="AB1005" s="272" t="str">
        <f t="shared" si="50"/>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8"/>
        <v/>
      </c>
      <c r="T1006" s="224" t="str">
        <f ca="1">IF(B1006="","",IF(ISERROR(MATCH($J1006,SorP!$B$1:$B$6230,0)),"",INDIRECT("'SorP'!$A$"&amp;MATCH($J1006,SorP!$B$1:$B$6230,0))))</f>
        <v/>
      </c>
      <c r="U1006" s="239"/>
      <c r="V1006" s="269" t="e">
        <f>IF(C1006="",NA(),MATCH($B1006&amp;$C1006,'Smelter Look-up'!$J:$J,0))</f>
        <v>#N/A</v>
      </c>
      <c r="W1006" s="270"/>
      <c r="X1006" s="270">
        <f t="shared" ca="1" si="49"/>
        <v>0</v>
      </c>
      <c r="Y1006" s="270"/>
      <c r="Z1006" s="270"/>
      <c r="AB1006" s="272" t="str">
        <f t="shared" si="50"/>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8"/>
        <v/>
      </c>
      <c r="T1007" s="224" t="str">
        <f ca="1">IF(B1007="","",IF(ISERROR(MATCH($J1007,SorP!$B$1:$B$6230,0)),"",INDIRECT("'SorP'!$A$"&amp;MATCH($J1007,SorP!$B$1:$B$6230,0))))</f>
        <v/>
      </c>
      <c r="U1007" s="239"/>
      <c r="V1007" s="269" t="e">
        <f>IF(C1007="",NA(),MATCH($B1007&amp;$C1007,'Smelter Look-up'!$J:$J,0))</f>
        <v>#N/A</v>
      </c>
      <c r="W1007" s="270"/>
      <c r="X1007" s="270">
        <f t="shared" ca="1" si="49"/>
        <v>0</v>
      </c>
      <c r="Y1007" s="270"/>
      <c r="Z1007" s="270"/>
      <c r="AB1007" s="272" t="str">
        <f t="shared" si="50"/>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8"/>
        <v/>
      </c>
      <c r="T1008" s="224" t="str">
        <f ca="1">IF(B1008="","",IF(ISERROR(MATCH($J1008,SorP!$B$1:$B$6230,0)),"",INDIRECT("'SorP'!$A$"&amp;MATCH($J1008,SorP!$B$1:$B$6230,0))))</f>
        <v/>
      </c>
      <c r="U1008" s="239"/>
      <c r="V1008" s="269" t="e">
        <f>IF(C1008="",NA(),MATCH($B1008&amp;$C1008,'Smelter Look-up'!$J:$J,0))</f>
        <v>#N/A</v>
      </c>
      <c r="W1008" s="270"/>
      <c r="X1008" s="270">
        <f t="shared" ca="1" si="49"/>
        <v>0</v>
      </c>
      <c r="Y1008" s="270"/>
      <c r="Z1008" s="270"/>
      <c r="AB1008" s="272" t="str">
        <f t="shared" si="50"/>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8"/>
        <v/>
      </c>
      <c r="T1009" s="224" t="str">
        <f ca="1">IF(B1009="","",IF(ISERROR(MATCH($J1009,SorP!$B$1:$B$6230,0)),"",INDIRECT("'SorP'!$A$"&amp;MATCH($J1009,SorP!$B$1:$B$6230,0))))</f>
        <v/>
      </c>
      <c r="U1009" s="239"/>
      <c r="V1009" s="269" t="e">
        <f>IF(C1009="",NA(),MATCH($B1009&amp;$C1009,'Smelter Look-up'!$J:$J,0))</f>
        <v>#N/A</v>
      </c>
      <c r="W1009" s="270"/>
      <c r="X1009" s="270">
        <f t="shared" ca="1" si="49"/>
        <v>0</v>
      </c>
      <c r="Y1009" s="270"/>
      <c r="Z1009" s="270"/>
      <c r="AB1009" s="272" t="str">
        <f t="shared" si="50"/>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8"/>
        <v/>
      </c>
      <c r="T1010" s="224" t="str">
        <f ca="1">IF(B1010="","",IF(ISERROR(MATCH($J1010,SorP!$B$1:$B$6230,0)),"",INDIRECT("'SorP'!$A$"&amp;MATCH($J1010,SorP!$B$1:$B$6230,0))))</f>
        <v/>
      </c>
      <c r="U1010" s="239"/>
      <c r="V1010" s="269" t="e">
        <f>IF(C1010="",NA(),MATCH($B1010&amp;$C1010,'Smelter Look-up'!$J:$J,0))</f>
        <v>#N/A</v>
      </c>
      <c r="W1010" s="270"/>
      <c r="X1010" s="270">
        <f t="shared" ca="1" si="49"/>
        <v>0</v>
      </c>
      <c r="Y1010" s="270"/>
      <c r="Z1010" s="270"/>
      <c r="AB1010" s="272" t="str">
        <f t="shared" si="50"/>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8"/>
        <v/>
      </c>
      <c r="T1011" s="224" t="str">
        <f ca="1">IF(B1011="","",IF(ISERROR(MATCH($J1011,SorP!$B$1:$B$6230,0)),"",INDIRECT("'SorP'!$A$"&amp;MATCH($J1011,SorP!$B$1:$B$6230,0))))</f>
        <v/>
      </c>
      <c r="U1011" s="239"/>
      <c r="V1011" s="269" t="e">
        <f>IF(C1011="",NA(),MATCH($B1011&amp;$C1011,'Smelter Look-up'!$J:$J,0))</f>
        <v>#N/A</v>
      </c>
      <c r="W1011" s="270"/>
      <c r="X1011" s="270">
        <f t="shared" ca="1" si="49"/>
        <v>0</v>
      </c>
      <c r="Y1011" s="270"/>
      <c r="Z1011" s="270"/>
      <c r="AB1011" s="272" t="str">
        <f t="shared" si="50"/>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8"/>
        <v/>
      </c>
      <c r="T1012" s="224" t="str">
        <f ca="1">IF(B1012="","",IF(ISERROR(MATCH($J1012,SorP!$B$1:$B$6230,0)),"",INDIRECT("'SorP'!$A$"&amp;MATCH($J1012,SorP!$B$1:$B$6230,0))))</f>
        <v/>
      </c>
      <c r="U1012" s="239"/>
      <c r="V1012" s="269" t="e">
        <f>IF(C1012="",NA(),MATCH($B1012&amp;$C1012,'Smelter Look-up'!$J:$J,0))</f>
        <v>#N/A</v>
      </c>
      <c r="W1012" s="270"/>
      <c r="X1012" s="270">
        <f t="shared" ca="1" si="49"/>
        <v>0</v>
      </c>
      <c r="Y1012" s="270"/>
      <c r="Z1012" s="270"/>
      <c r="AB1012" s="272" t="str">
        <f t="shared" si="50"/>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48"/>
        <v/>
      </c>
      <c r="T1013" s="224" t="str">
        <f ca="1">IF(B1013="","",IF(ISERROR(MATCH($J1013,SorP!$B$1:$B$6230,0)),"",INDIRECT("'SorP'!$A$"&amp;MATCH($J1013,SorP!$B$1:$B$6230,0))))</f>
        <v/>
      </c>
      <c r="U1013" s="239"/>
      <c r="V1013" s="269" t="e">
        <f>IF(C1013="",NA(),MATCH($B1013&amp;$C1013,'Smelter Look-up'!$J:$J,0))</f>
        <v>#N/A</v>
      </c>
      <c r="W1013" s="270"/>
      <c r="X1013" s="270">
        <f t="shared" ca="1" si="49"/>
        <v>0</v>
      </c>
      <c r="Y1013" s="270"/>
      <c r="Z1013" s="270"/>
      <c r="AB1013" s="272" t="str">
        <f t="shared" si="50"/>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48"/>
        <v/>
      </c>
      <c r="T1014" s="224" t="str">
        <f ca="1">IF(B1014="","",IF(ISERROR(MATCH($J1014,SorP!$B$1:$B$6230,0)),"",INDIRECT("'SorP'!$A$"&amp;MATCH($J1014,SorP!$B$1:$B$6230,0))))</f>
        <v/>
      </c>
      <c r="U1014" s="239"/>
      <c r="V1014" s="269" t="e">
        <f>IF(C1014="",NA(),MATCH($B1014&amp;$C1014,'Smelter Look-up'!$J:$J,0))</f>
        <v>#N/A</v>
      </c>
      <c r="W1014" s="270"/>
      <c r="X1014" s="270">
        <f t="shared" ca="1" si="49"/>
        <v>0</v>
      </c>
      <c r="Y1014" s="270"/>
      <c r="Z1014" s="270"/>
      <c r="AB1014" s="272" t="str">
        <f t="shared" si="50"/>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48"/>
        <v/>
      </c>
      <c r="T1015" s="224" t="str">
        <f ca="1">IF(B1015="","",IF(ISERROR(MATCH($J1015,SorP!$B$1:$B$6230,0)),"",INDIRECT("'SorP'!$A$"&amp;MATCH($J1015,SorP!$B$1:$B$6230,0))))</f>
        <v/>
      </c>
      <c r="U1015" s="239"/>
      <c r="V1015" s="269" t="e">
        <f>IF(C1015="",NA(),MATCH($B1015&amp;$C1015,'Smelter Look-up'!$J:$J,0))</f>
        <v>#N/A</v>
      </c>
      <c r="W1015" s="270"/>
      <c r="X1015" s="270">
        <f t="shared" ca="1" si="49"/>
        <v>0</v>
      </c>
      <c r="Y1015" s="270"/>
      <c r="Z1015" s="270"/>
      <c r="AB1015" s="272" t="str">
        <f t="shared" si="50"/>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48"/>
        <v/>
      </c>
      <c r="T1016" s="224" t="str">
        <f ca="1">IF(B1016="","",IF(ISERROR(MATCH($J1016,SorP!$B$1:$B$6230,0)),"",INDIRECT("'SorP'!$A$"&amp;MATCH($J1016,SorP!$B$1:$B$6230,0))))</f>
        <v/>
      </c>
      <c r="U1016" s="239"/>
      <c r="V1016" s="269" t="e">
        <f>IF(C1016="",NA(),MATCH($B1016&amp;$C1016,'Smelter Look-up'!$J:$J,0))</f>
        <v>#N/A</v>
      </c>
      <c r="W1016" s="270"/>
      <c r="X1016" s="270">
        <f t="shared" ca="1" si="49"/>
        <v>0</v>
      </c>
      <c r="Y1016" s="270"/>
      <c r="Z1016" s="270"/>
      <c r="AB1016" s="272" t="str">
        <f t="shared" si="50"/>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48"/>
        <v/>
      </c>
      <c r="T1017" s="224" t="str">
        <f ca="1">IF(B1017="","",IF(ISERROR(MATCH($J1017,SorP!$B$1:$B$6230,0)),"",INDIRECT("'SorP'!$A$"&amp;MATCH($J1017,SorP!$B$1:$B$6230,0))))</f>
        <v/>
      </c>
      <c r="U1017" s="239"/>
      <c r="V1017" s="269" t="e">
        <f>IF(C1017="",NA(),MATCH($B1017&amp;$C1017,'Smelter Look-up'!$J:$J,0))</f>
        <v>#N/A</v>
      </c>
      <c r="W1017" s="270"/>
      <c r="X1017" s="270">
        <f t="shared" ca="1" si="49"/>
        <v>0</v>
      </c>
      <c r="Y1017" s="270"/>
      <c r="Z1017" s="270"/>
      <c r="AB1017" s="272" t="str">
        <f t="shared" si="50"/>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48"/>
        <v/>
      </c>
      <c r="T1018" s="224" t="str">
        <f ca="1">IF(B1018="","",IF(ISERROR(MATCH($J1018,SorP!$B$1:$B$6230,0)),"",INDIRECT("'SorP'!$A$"&amp;MATCH($J1018,SorP!$B$1:$B$6230,0))))</f>
        <v/>
      </c>
      <c r="U1018" s="239"/>
      <c r="V1018" s="269" t="e">
        <f>IF(C1018="",NA(),MATCH($B1018&amp;$C1018,'Smelter Look-up'!$J:$J,0))</f>
        <v>#N/A</v>
      </c>
      <c r="W1018" s="270"/>
      <c r="X1018" s="270">
        <f t="shared" ca="1" si="49"/>
        <v>0</v>
      </c>
      <c r="Y1018" s="270"/>
      <c r="Z1018" s="270"/>
      <c r="AB1018" s="272" t="str">
        <f t="shared" si="50"/>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1">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2">IF(AND(C1019="Smelter not listed",OR(LEN(D1019)=0,LEN(E1019)=0)),1,0)</f>
        <v>0</v>
      </c>
      <c r="Y1019" s="270"/>
      <c r="Z1019" s="270"/>
      <c r="AB1019" s="272" t="str">
        <f t="shared" ref="AB1019:AB1082" si="53">B1019&amp;C1019</f>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1"/>
        <v/>
      </c>
      <c r="T1068" s="224" t="str">
        <f ca="1">IF(B1068="","",IF(ISERROR(MATCH($J1068,SorP!$B$1:$B$6230,0)),"",INDIRECT("'SorP'!$A$"&amp;MATCH($J1068,SorP!$B$1:$B$6230,0))))</f>
        <v/>
      </c>
      <c r="U1068" s="239"/>
      <c r="V1068" s="269" t="e">
        <f>IF(C1068="",NA(),MATCH($B1068&amp;$C1068,'Smelter Look-up'!$J:$J,0))</f>
        <v>#N/A</v>
      </c>
      <c r="W1068" s="270"/>
      <c r="X1068" s="270">
        <f t="shared" ca="1" si="52"/>
        <v>0</v>
      </c>
      <c r="Y1068" s="270"/>
      <c r="Z1068" s="270"/>
      <c r="AB1068" s="272" t="str">
        <f t="shared" si="53"/>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1"/>
        <v/>
      </c>
      <c r="T1069" s="224" t="str">
        <f ca="1">IF(B1069="","",IF(ISERROR(MATCH($J1069,SorP!$B$1:$B$6230,0)),"",INDIRECT("'SorP'!$A$"&amp;MATCH($J1069,SorP!$B$1:$B$6230,0))))</f>
        <v/>
      </c>
      <c r="U1069" s="239"/>
      <c r="V1069" s="269" t="e">
        <f>IF(C1069="",NA(),MATCH($B1069&amp;$C1069,'Smelter Look-up'!$J:$J,0))</f>
        <v>#N/A</v>
      </c>
      <c r="W1069" s="270"/>
      <c r="X1069" s="270">
        <f t="shared" ca="1" si="52"/>
        <v>0</v>
      </c>
      <c r="Y1069" s="270"/>
      <c r="Z1069" s="270"/>
      <c r="AB1069" s="272" t="str">
        <f t="shared" si="53"/>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1"/>
        <v/>
      </c>
      <c r="T1070" s="224" t="str">
        <f ca="1">IF(B1070="","",IF(ISERROR(MATCH($J1070,SorP!$B$1:$B$6230,0)),"",INDIRECT("'SorP'!$A$"&amp;MATCH($J1070,SorP!$B$1:$B$6230,0))))</f>
        <v/>
      </c>
      <c r="U1070" s="239"/>
      <c r="V1070" s="269" t="e">
        <f>IF(C1070="",NA(),MATCH($B1070&amp;$C1070,'Smelter Look-up'!$J:$J,0))</f>
        <v>#N/A</v>
      </c>
      <c r="W1070" s="270"/>
      <c r="X1070" s="270">
        <f t="shared" ca="1" si="52"/>
        <v>0</v>
      </c>
      <c r="Y1070" s="270"/>
      <c r="Z1070" s="270"/>
      <c r="AB1070" s="272" t="str">
        <f t="shared" si="53"/>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1"/>
        <v/>
      </c>
      <c r="T1071" s="224" t="str">
        <f ca="1">IF(B1071="","",IF(ISERROR(MATCH($J1071,SorP!$B$1:$B$6230,0)),"",INDIRECT("'SorP'!$A$"&amp;MATCH($J1071,SorP!$B$1:$B$6230,0))))</f>
        <v/>
      </c>
      <c r="U1071" s="239"/>
      <c r="V1071" s="269" t="e">
        <f>IF(C1071="",NA(),MATCH($B1071&amp;$C1071,'Smelter Look-up'!$J:$J,0))</f>
        <v>#N/A</v>
      </c>
      <c r="W1071" s="270"/>
      <c r="X1071" s="270">
        <f t="shared" ca="1" si="52"/>
        <v>0</v>
      </c>
      <c r="Y1071" s="270"/>
      <c r="Z1071" s="270"/>
      <c r="AB1071" s="272" t="str">
        <f t="shared" si="53"/>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1"/>
        <v/>
      </c>
      <c r="T1072" s="224" t="str">
        <f ca="1">IF(B1072="","",IF(ISERROR(MATCH($J1072,SorP!$B$1:$B$6230,0)),"",INDIRECT("'SorP'!$A$"&amp;MATCH($J1072,SorP!$B$1:$B$6230,0))))</f>
        <v/>
      </c>
      <c r="U1072" s="239"/>
      <c r="V1072" s="269" t="e">
        <f>IF(C1072="",NA(),MATCH($B1072&amp;$C1072,'Smelter Look-up'!$J:$J,0))</f>
        <v>#N/A</v>
      </c>
      <c r="W1072" s="270"/>
      <c r="X1072" s="270">
        <f t="shared" ca="1" si="52"/>
        <v>0</v>
      </c>
      <c r="Y1072" s="270"/>
      <c r="Z1072" s="270"/>
      <c r="AB1072" s="272" t="str">
        <f t="shared" si="53"/>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1"/>
        <v/>
      </c>
      <c r="T1073" s="224" t="str">
        <f ca="1">IF(B1073="","",IF(ISERROR(MATCH($J1073,SorP!$B$1:$B$6230,0)),"",INDIRECT("'SorP'!$A$"&amp;MATCH($J1073,SorP!$B$1:$B$6230,0))))</f>
        <v/>
      </c>
      <c r="U1073" s="239"/>
      <c r="V1073" s="269" t="e">
        <f>IF(C1073="",NA(),MATCH($B1073&amp;$C1073,'Smelter Look-up'!$J:$J,0))</f>
        <v>#N/A</v>
      </c>
      <c r="W1073" s="270"/>
      <c r="X1073" s="270">
        <f t="shared" ca="1" si="52"/>
        <v>0</v>
      </c>
      <c r="Y1073" s="270"/>
      <c r="Z1073" s="270"/>
      <c r="AB1073" s="272" t="str">
        <f t="shared" si="53"/>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1"/>
        <v/>
      </c>
      <c r="T1074" s="224" t="str">
        <f ca="1">IF(B1074="","",IF(ISERROR(MATCH($J1074,SorP!$B$1:$B$6230,0)),"",INDIRECT("'SorP'!$A$"&amp;MATCH($J1074,SorP!$B$1:$B$6230,0))))</f>
        <v/>
      </c>
      <c r="U1074" s="239"/>
      <c r="V1074" s="269" t="e">
        <f>IF(C1074="",NA(),MATCH($B1074&amp;$C1074,'Smelter Look-up'!$J:$J,0))</f>
        <v>#N/A</v>
      </c>
      <c r="W1074" s="270"/>
      <c r="X1074" s="270">
        <f t="shared" ca="1" si="52"/>
        <v>0</v>
      </c>
      <c r="Y1074" s="270"/>
      <c r="Z1074" s="270"/>
      <c r="AB1074" s="272" t="str">
        <f t="shared" si="53"/>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1"/>
        <v/>
      </c>
      <c r="T1075" s="224" t="str">
        <f ca="1">IF(B1075="","",IF(ISERROR(MATCH($J1075,SorP!$B$1:$B$6230,0)),"",INDIRECT("'SorP'!$A$"&amp;MATCH($J1075,SorP!$B$1:$B$6230,0))))</f>
        <v/>
      </c>
      <c r="U1075" s="239"/>
      <c r="V1075" s="269" t="e">
        <f>IF(C1075="",NA(),MATCH($B1075&amp;$C1075,'Smelter Look-up'!$J:$J,0))</f>
        <v>#N/A</v>
      </c>
      <c r="W1075" s="270"/>
      <c r="X1075" s="270">
        <f t="shared" ca="1" si="52"/>
        <v>0</v>
      </c>
      <c r="Y1075" s="270"/>
      <c r="Z1075" s="270"/>
      <c r="AB1075" s="272" t="str">
        <f t="shared" si="53"/>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1"/>
        <v/>
      </c>
      <c r="T1076" s="224" t="str">
        <f ca="1">IF(B1076="","",IF(ISERROR(MATCH($J1076,SorP!$B$1:$B$6230,0)),"",INDIRECT("'SorP'!$A$"&amp;MATCH($J1076,SorP!$B$1:$B$6230,0))))</f>
        <v/>
      </c>
      <c r="U1076" s="239"/>
      <c r="V1076" s="269" t="e">
        <f>IF(C1076="",NA(),MATCH($B1076&amp;$C1076,'Smelter Look-up'!$J:$J,0))</f>
        <v>#N/A</v>
      </c>
      <c r="W1076" s="270"/>
      <c r="X1076" s="270">
        <f t="shared" ca="1" si="52"/>
        <v>0</v>
      </c>
      <c r="Y1076" s="270"/>
      <c r="Z1076" s="270"/>
      <c r="AB1076" s="272" t="str">
        <f t="shared" si="53"/>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1"/>
        <v/>
      </c>
      <c r="T1077" s="224" t="str">
        <f ca="1">IF(B1077="","",IF(ISERROR(MATCH($J1077,SorP!$B$1:$B$6230,0)),"",INDIRECT("'SorP'!$A$"&amp;MATCH($J1077,SorP!$B$1:$B$6230,0))))</f>
        <v/>
      </c>
      <c r="U1077" s="239"/>
      <c r="V1077" s="269" t="e">
        <f>IF(C1077="",NA(),MATCH($B1077&amp;$C1077,'Smelter Look-up'!$J:$J,0))</f>
        <v>#N/A</v>
      </c>
      <c r="W1077" s="270"/>
      <c r="X1077" s="270">
        <f t="shared" ca="1" si="52"/>
        <v>0</v>
      </c>
      <c r="Y1077" s="270"/>
      <c r="Z1077" s="270"/>
      <c r="AB1077" s="272" t="str">
        <f t="shared" si="53"/>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1"/>
        <v/>
      </c>
      <c r="T1078" s="224" t="str">
        <f ca="1">IF(B1078="","",IF(ISERROR(MATCH($J1078,SorP!$B$1:$B$6230,0)),"",INDIRECT("'SorP'!$A$"&amp;MATCH($J1078,SorP!$B$1:$B$6230,0))))</f>
        <v/>
      </c>
      <c r="U1078" s="239"/>
      <c r="V1078" s="269" t="e">
        <f>IF(C1078="",NA(),MATCH($B1078&amp;$C1078,'Smelter Look-up'!$J:$J,0))</f>
        <v>#N/A</v>
      </c>
      <c r="W1078" s="270"/>
      <c r="X1078" s="270">
        <f t="shared" ca="1" si="52"/>
        <v>0</v>
      </c>
      <c r="Y1078" s="270"/>
      <c r="Z1078" s="270"/>
      <c r="AB1078" s="272" t="str">
        <f t="shared" si="53"/>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1"/>
        <v/>
      </c>
      <c r="T1079" s="224" t="str">
        <f ca="1">IF(B1079="","",IF(ISERROR(MATCH($J1079,SorP!$B$1:$B$6230,0)),"",INDIRECT("'SorP'!$A$"&amp;MATCH($J1079,SorP!$B$1:$B$6230,0))))</f>
        <v/>
      </c>
      <c r="U1079" s="239"/>
      <c r="V1079" s="269" t="e">
        <f>IF(C1079="",NA(),MATCH($B1079&amp;$C1079,'Smelter Look-up'!$J:$J,0))</f>
        <v>#N/A</v>
      </c>
      <c r="W1079" s="270"/>
      <c r="X1079" s="270">
        <f t="shared" ca="1" si="52"/>
        <v>0</v>
      </c>
      <c r="Y1079" s="270"/>
      <c r="Z1079" s="270"/>
      <c r="AB1079" s="272" t="str">
        <f t="shared" si="53"/>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1"/>
        <v/>
      </c>
      <c r="T1080" s="224" t="str">
        <f ca="1">IF(B1080="","",IF(ISERROR(MATCH($J1080,SorP!$B$1:$B$6230,0)),"",INDIRECT("'SorP'!$A$"&amp;MATCH($J1080,SorP!$B$1:$B$6230,0))))</f>
        <v/>
      </c>
      <c r="U1080" s="239"/>
      <c r="V1080" s="269" t="e">
        <f>IF(C1080="",NA(),MATCH($B1080&amp;$C1080,'Smelter Look-up'!$J:$J,0))</f>
        <v>#N/A</v>
      </c>
      <c r="W1080" s="270"/>
      <c r="X1080" s="270">
        <f t="shared" ca="1" si="52"/>
        <v>0</v>
      </c>
      <c r="Y1080" s="270"/>
      <c r="Z1080" s="270"/>
      <c r="AB1080" s="272" t="str">
        <f t="shared" si="53"/>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1"/>
        <v/>
      </c>
      <c r="T1081" s="224" t="str">
        <f ca="1">IF(B1081="","",IF(ISERROR(MATCH($J1081,SorP!$B$1:$B$6230,0)),"",INDIRECT("'SorP'!$A$"&amp;MATCH($J1081,SorP!$B$1:$B$6230,0))))</f>
        <v/>
      </c>
      <c r="U1081" s="239"/>
      <c r="V1081" s="269" t="e">
        <f>IF(C1081="",NA(),MATCH($B1081&amp;$C1081,'Smelter Look-up'!$J:$J,0))</f>
        <v>#N/A</v>
      </c>
      <c r="W1081" s="270"/>
      <c r="X1081" s="270">
        <f t="shared" ca="1" si="52"/>
        <v>0</v>
      </c>
      <c r="Y1081" s="270"/>
      <c r="Z1081" s="270"/>
      <c r="AB1081" s="272" t="str">
        <f t="shared" si="53"/>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1"/>
        <v/>
      </c>
      <c r="T1082" s="224" t="str">
        <f ca="1">IF(B1082="","",IF(ISERROR(MATCH($J1082,SorP!$B$1:$B$6230,0)),"",INDIRECT("'SorP'!$A$"&amp;MATCH($J1082,SorP!$B$1:$B$6230,0))))</f>
        <v/>
      </c>
      <c r="U1082" s="239"/>
      <c r="V1082" s="269" t="e">
        <f>IF(C1082="",NA(),MATCH($B1082&amp;$C1082,'Smelter Look-up'!$J:$J,0))</f>
        <v>#N/A</v>
      </c>
      <c r="W1082" s="270"/>
      <c r="X1082" s="270">
        <f t="shared" ca="1" si="52"/>
        <v>0</v>
      </c>
      <c r="Y1082" s="270"/>
      <c r="Z1082" s="270"/>
      <c r="AB1082" s="272" t="str">
        <f t="shared" si="53"/>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4">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5">IF(AND(C1083="Smelter not listed",OR(LEN(D1083)=0,LEN(E1083)=0)),1,0)</f>
        <v>0</v>
      </c>
      <c r="Y1083" s="270"/>
      <c r="Z1083" s="270"/>
      <c r="AB1083" s="272" t="str">
        <f t="shared" ref="AB1083:AB1146" si="56">B1083&amp;C1083</f>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4"/>
        <v/>
      </c>
      <c r="T1132" s="224" t="str">
        <f ca="1">IF(B1132="","",IF(ISERROR(MATCH($J1132,SorP!$B$1:$B$6230,0)),"",INDIRECT("'SorP'!$A$"&amp;MATCH($J1132,SorP!$B$1:$B$6230,0))))</f>
        <v/>
      </c>
      <c r="U1132" s="239"/>
      <c r="V1132" s="269" t="e">
        <f>IF(C1132="",NA(),MATCH($B1132&amp;$C1132,'Smelter Look-up'!$J:$J,0))</f>
        <v>#N/A</v>
      </c>
      <c r="W1132" s="270"/>
      <c r="X1132" s="270">
        <f t="shared" ca="1" si="55"/>
        <v>0</v>
      </c>
      <c r="Y1132" s="270"/>
      <c r="Z1132" s="270"/>
      <c r="AB1132" s="272" t="str">
        <f t="shared" si="56"/>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4"/>
        <v/>
      </c>
      <c r="T1133" s="224" t="str">
        <f ca="1">IF(B1133="","",IF(ISERROR(MATCH($J1133,SorP!$B$1:$B$6230,0)),"",INDIRECT("'SorP'!$A$"&amp;MATCH($J1133,SorP!$B$1:$B$6230,0))))</f>
        <v/>
      </c>
      <c r="U1133" s="239"/>
      <c r="V1133" s="269" t="e">
        <f>IF(C1133="",NA(),MATCH($B1133&amp;$C1133,'Smelter Look-up'!$J:$J,0))</f>
        <v>#N/A</v>
      </c>
      <c r="W1133" s="270"/>
      <c r="X1133" s="270">
        <f t="shared" ca="1" si="55"/>
        <v>0</v>
      </c>
      <c r="Y1133" s="270"/>
      <c r="Z1133" s="270"/>
      <c r="AB1133" s="272" t="str">
        <f t="shared" si="56"/>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4"/>
        <v/>
      </c>
      <c r="T1134" s="224" t="str">
        <f ca="1">IF(B1134="","",IF(ISERROR(MATCH($J1134,SorP!$B$1:$B$6230,0)),"",INDIRECT("'SorP'!$A$"&amp;MATCH($J1134,SorP!$B$1:$B$6230,0))))</f>
        <v/>
      </c>
      <c r="U1134" s="239"/>
      <c r="V1134" s="269" t="e">
        <f>IF(C1134="",NA(),MATCH($B1134&amp;$C1134,'Smelter Look-up'!$J:$J,0))</f>
        <v>#N/A</v>
      </c>
      <c r="W1134" s="270"/>
      <c r="X1134" s="270">
        <f t="shared" ca="1" si="55"/>
        <v>0</v>
      </c>
      <c r="Y1134" s="270"/>
      <c r="Z1134" s="270"/>
      <c r="AB1134" s="272" t="str">
        <f t="shared" si="56"/>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4"/>
        <v/>
      </c>
      <c r="T1135" s="224" t="str">
        <f ca="1">IF(B1135="","",IF(ISERROR(MATCH($J1135,SorP!$B$1:$B$6230,0)),"",INDIRECT("'SorP'!$A$"&amp;MATCH($J1135,SorP!$B$1:$B$6230,0))))</f>
        <v/>
      </c>
      <c r="U1135" s="239"/>
      <c r="V1135" s="269" t="e">
        <f>IF(C1135="",NA(),MATCH($B1135&amp;$C1135,'Smelter Look-up'!$J:$J,0))</f>
        <v>#N/A</v>
      </c>
      <c r="W1135" s="270"/>
      <c r="X1135" s="270">
        <f t="shared" ca="1" si="55"/>
        <v>0</v>
      </c>
      <c r="Y1135" s="270"/>
      <c r="Z1135" s="270"/>
      <c r="AB1135" s="272" t="str">
        <f t="shared" si="56"/>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4"/>
        <v/>
      </c>
      <c r="T1136" s="224" t="str">
        <f ca="1">IF(B1136="","",IF(ISERROR(MATCH($J1136,SorP!$B$1:$B$6230,0)),"",INDIRECT("'SorP'!$A$"&amp;MATCH($J1136,SorP!$B$1:$B$6230,0))))</f>
        <v/>
      </c>
      <c r="U1136" s="239"/>
      <c r="V1136" s="269" t="e">
        <f>IF(C1136="",NA(),MATCH($B1136&amp;$C1136,'Smelter Look-up'!$J:$J,0))</f>
        <v>#N/A</v>
      </c>
      <c r="W1136" s="270"/>
      <c r="X1136" s="270">
        <f t="shared" ca="1" si="55"/>
        <v>0</v>
      </c>
      <c r="Y1136" s="270"/>
      <c r="Z1136" s="270"/>
      <c r="AB1136" s="272" t="str">
        <f t="shared" si="56"/>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4"/>
        <v/>
      </c>
      <c r="T1137" s="224" t="str">
        <f ca="1">IF(B1137="","",IF(ISERROR(MATCH($J1137,SorP!$B$1:$B$6230,0)),"",INDIRECT("'SorP'!$A$"&amp;MATCH($J1137,SorP!$B$1:$B$6230,0))))</f>
        <v/>
      </c>
      <c r="U1137" s="239"/>
      <c r="V1137" s="269" t="e">
        <f>IF(C1137="",NA(),MATCH($B1137&amp;$C1137,'Smelter Look-up'!$J:$J,0))</f>
        <v>#N/A</v>
      </c>
      <c r="W1137" s="270"/>
      <c r="X1137" s="270">
        <f t="shared" ca="1" si="55"/>
        <v>0</v>
      </c>
      <c r="Y1137" s="270"/>
      <c r="Z1137" s="270"/>
      <c r="AB1137" s="272" t="str">
        <f t="shared" si="56"/>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4"/>
        <v/>
      </c>
      <c r="T1138" s="224" t="str">
        <f ca="1">IF(B1138="","",IF(ISERROR(MATCH($J1138,SorP!$B$1:$B$6230,0)),"",INDIRECT("'SorP'!$A$"&amp;MATCH($J1138,SorP!$B$1:$B$6230,0))))</f>
        <v/>
      </c>
      <c r="U1138" s="239"/>
      <c r="V1138" s="269" t="e">
        <f>IF(C1138="",NA(),MATCH($B1138&amp;$C1138,'Smelter Look-up'!$J:$J,0))</f>
        <v>#N/A</v>
      </c>
      <c r="W1138" s="270"/>
      <c r="X1138" s="270">
        <f t="shared" ca="1" si="55"/>
        <v>0</v>
      </c>
      <c r="Y1138" s="270"/>
      <c r="Z1138" s="270"/>
      <c r="AB1138" s="272" t="str">
        <f t="shared" si="56"/>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4"/>
        <v/>
      </c>
      <c r="T1139" s="224" t="str">
        <f ca="1">IF(B1139="","",IF(ISERROR(MATCH($J1139,SorP!$B$1:$B$6230,0)),"",INDIRECT("'SorP'!$A$"&amp;MATCH($J1139,SorP!$B$1:$B$6230,0))))</f>
        <v/>
      </c>
      <c r="U1139" s="239"/>
      <c r="V1139" s="269" t="e">
        <f>IF(C1139="",NA(),MATCH($B1139&amp;$C1139,'Smelter Look-up'!$J:$J,0))</f>
        <v>#N/A</v>
      </c>
      <c r="W1139" s="270"/>
      <c r="X1139" s="270">
        <f t="shared" ca="1" si="55"/>
        <v>0</v>
      </c>
      <c r="Y1139" s="270"/>
      <c r="Z1139" s="270"/>
      <c r="AB1139" s="272" t="str">
        <f t="shared" si="56"/>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4"/>
        <v/>
      </c>
      <c r="T1140" s="224" t="str">
        <f ca="1">IF(B1140="","",IF(ISERROR(MATCH($J1140,SorP!$B$1:$B$6230,0)),"",INDIRECT("'SorP'!$A$"&amp;MATCH($J1140,SorP!$B$1:$B$6230,0))))</f>
        <v/>
      </c>
      <c r="U1140" s="239"/>
      <c r="V1140" s="269" t="e">
        <f>IF(C1140="",NA(),MATCH($B1140&amp;$C1140,'Smelter Look-up'!$J:$J,0))</f>
        <v>#N/A</v>
      </c>
      <c r="W1140" s="270"/>
      <c r="X1140" s="270">
        <f t="shared" ca="1" si="55"/>
        <v>0</v>
      </c>
      <c r="Y1140" s="270"/>
      <c r="Z1140" s="270"/>
      <c r="AB1140" s="272" t="str">
        <f t="shared" si="56"/>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4"/>
        <v/>
      </c>
      <c r="T1141" s="224" t="str">
        <f ca="1">IF(B1141="","",IF(ISERROR(MATCH($J1141,SorP!$B$1:$B$6230,0)),"",INDIRECT("'SorP'!$A$"&amp;MATCH($J1141,SorP!$B$1:$B$6230,0))))</f>
        <v/>
      </c>
      <c r="U1141" s="239"/>
      <c r="V1141" s="269" t="e">
        <f>IF(C1141="",NA(),MATCH($B1141&amp;$C1141,'Smelter Look-up'!$J:$J,0))</f>
        <v>#N/A</v>
      </c>
      <c r="W1141" s="270"/>
      <c r="X1141" s="270">
        <f t="shared" ca="1" si="55"/>
        <v>0</v>
      </c>
      <c r="Y1141" s="270"/>
      <c r="Z1141" s="270"/>
      <c r="AB1141" s="272" t="str">
        <f t="shared" si="56"/>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4"/>
        <v/>
      </c>
      <c r="T1142" s="224" t="str">
        <f ca="1">IF(B1142="","",IF(ISERROR(MATCH($J1142,SorP!$B$1:$B$6230,0)),"",INDIRECT("'SorP'!$A$"&amp;MATCH($J1142,SorP!$B$1:$B$6230,0))))</f>
        <v/>
      </c>
      <c r="U1142" s="239"/>
      <c r="V1142" s="269" t="e">
        <f>IF(C1142="",NA(),MATCH($B1142&amp;$C1142,'Smelter Look-up'!$J:$J,0))</f>
        <v>#N/A</v>
      </c>
      <c r="W1142" s="270"/>
      <c r="X1142" s="270">
        <f t="shared" ca="1" si="55"/>
        <v>0</v>
      </c>
      <c r="Y1142" s="270"/>
      <c r="Z1142" s="270"/>
      <c r="AB1142" s="272" t="str">
        <f t="shared" si="56"/>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4"/>
        <v/>
      </c>
      <c r="T1143" s="224" t="str">
        <f ca="1">IF(B1143="","",IF(ISERROR(MATCH($J1143,SorP!$B$1:$B$6230,0)),"",INDIRECT("'SorP'!$A$"&amp;MATCH($J1143,SorP!$B$1:$B$6230,0))))</f>
        <v/>
      </c>
      <c r="U1143" s="239"/>
      <c r="V1143" s="269" t="e">
        <f>IF(C1143="",NA(),MATCH($B1143&amp;$C1143,'Smelter Look-up'!$J:$J,0))</f>
        <v>#N/A</v>
      </c>
      <c r="W1143" s="270"/>
      <c r="X1143" s="270">
        <f t="shared" ca="1" si="55"/>
        <v>0</v>
      </c>
      <c r="Y1143" s="270"/>
      <c r="Z1143" s="270"/>
      <c r="AB1143" s="272" t="str">
        <f t="shared" si="56"/>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4"/>
        <v/>
      </c>
      <c r="T1144" s="224" t="str">
        <f ca="1">IF(B1144="","",IF(ISERROR(MATCH($J1144,SorP!$B$1:$B$6230,0)),"",INDIRECT("'SorP'!$A$"&amp;MATCH($J1144,SorP!$B$1:$B$6230,0))))</f>
        <v/>
      </c>
      <c r="U1144" s="239"/>
      <c r="V1144" s="269" t="e">
        <f>IF(C1144="",NA(),MATCH($B1144&amp;$C1144,'Smelter Look-up'!$J:$J,0))</f>
        <v>#N/A</v>
      </c>
      <c r="W1144" s="270"/>
      <c r="X1144" s="270">
        <f t="shared" ca="1" si="55"/>
        <v>0</v>
      </c>
      <c r="Y1144" s="270"/>
      <c r="Z1144" s="270"/>
      <c r="AB1144" s="272" t="str">
        <f t="shared" si="56"/>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4"/>
        <v/>
      </c>
      <c r="T1145" s="224" t="str">
        <f ca="1">IF(B1145="","",IF(ISERROR(MATCH($J1145,SorP!$B$1:$B$6230,0)),"",INDIRECT("'SorP'!$A$"&amp;MATCH($J1145,SorP!$B$1:$B$6230,0))))</f>
        <v/>
      </c>
      <c r="U1145" s="239"/>
      <c r="V1145" s="269" t="e">
        <f>IF(C1145="",NA(),MATCH($B1145&amp;$C1145,'Smelter Look-up'!$J:$J,0))</f>
        <v>#N/A</v>
      </c>
      <c r="W1145" s="270"/>
      <c r="X1145" s="270">
        <f t="shared" ca="1" si="55"/>
        <v>0</v>
      </c>
      <c r="Y1145" s="270"/>
      <c r="Z1145" s="270"/>
      <c r="AB1145" s="272" t="str">
        <f t="shared" si="56"/>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4"/>
        <v/>
      </c>
      <c r="T1146" s="224" t="str">
        <f ca="1">IF(B1146="","",IF(ISERROR(MATCH($J1146,SorP!$B$1:$B$6230,0)),"",INDIRECT("'SorP'!$A$"&amp;MATCH($J1146,SorP!$B$1:$B$6230,0))))</f>
        <v/>
      </c>
      <c r="U1146" s="239"/>
      <c r="V1146" s="269" t="e">
        <f>IF(C1146="",NA(),MATCH($B1146&amp;$C1146,'Smelter Look-up'!$J:$J,0))</f>
        <v>#N/A</v>
      </c>
      <c r="W1146" s="270"/>
      <c r="X1146" s="270">
        <f t="shared" ca="1" si="55"/>
        <v>0</v>
      </c>
      <c r="Y1146" s="270"/>
      <c r="Z1146" s="270"/>
      <c r="AB1146" s="272" t="str">
        <f t="shared" si="56"/>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57">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58">IF(AND(C1147="Smelter not listed",OR(LEN(D1147)=0,LEN(E1147)=0)),1,0)</f>
        <v>0</v>
      </c>
      <c r="Y1147" s="270"/>
      <c r="Z1147" s="270"/>
      <c r="AB1147" s="272" t="str">
        <f t="shared" ref="AB1147:AB1210" si="59">B1147&amp;C1147</f>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7"/>
        <v/>
      </c>
      <c r="T1196" s="224" t="str">
        <f ca="1">IF(B1196="","",IF(ISERROR(MATCH($J1196,SorP!$B$1:$B$6230,0)),"",INDIRECT("'SorP'!$A$"&amp;MATCH($J1196,SorP!$B$1:$B$6230,0))))</f>
        <v/>
      </c>
      <c r="U1196" s="239"/>
      <c r="V1196" s="269" t="e">
        <f>IF(C1196="",NA(),MATCH($B1196&amp;$C1196,'Smelter Look-up'!$J:$J,0))</f>
        <v>#N/A</v>
      </c>
      <c r="W1196" s="270"/>
      <c r="X1196" s="270">
        <f t="shared" ca="1" si="58"/>
        <v>0</v>
      </c>
      <c r="Y1196" s="270"/>
      <c r="Z1196" s="270"/>
      <c r="AB1196" s="272" t="str">
        <f t="shared" si="59"/>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7"/>
        <v/>
      </c>
      <c r="T1197" s="224" t="str">
        <f ca="1">IF(B1197="","",IF(ISERROR(MATCH($J1197,SorP!$B$1:$B$6230,0)),"",INDIRECT("'SorP'!$A$"&amp;MATCH($J1197,SorP!$B$1:$B$6230,0))))</f>
        <v/>
      </c>
      <c r="U1197" s="239"/>
      <c r="V1197" s="269" t="e">
        <f>IF(C1197="",NA(),MATCH($B1197&amp;$C1197,'Smelter Look-up'!$J:$J,0))</f>
        <v>#N/A</v>
      </c>
      <c r="W1197" s="270"/>
      <c r="X1197" s="270">
        <f t="shared" ca="1" si="58"/>
        <v>0</v>
      </c>
      <c r="Y1197" s="270"/>
      <c r="Z1197" s="270"/>
      <c r="AB1197" s="272" t="str">
        <f t="shared" si="59"/>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7"/>
        <v/>
      </c>
      <c r="T1198" s="224" t="str">
        <f ca="1">IF(B1198="","",IF(ISERROR(MATCH($J1198,SorP!$B$1:$B$6230,0)),"",INDIRECT("'SorP'!$A$"&amp;MATCH($J1198,SorP!$B$1:$B$6230,0))))</f>
        <v/>
      </c>
      <c r="U1198" s="239"/>
      <c r="V1198" s="269" t="e">
        <f>IF(C1198="",NA(),MATCH($B1198&amp;$C1198,'Smelter Look-up'!$J:$J,0))</f>
        <v>#N/A</v>
      </c>
      <c r="W1198" s="270"/>
      <c r="X1198" s="270">
        <f t="shared" ca="1" si="58"/>
        <v>0</v>
      </c>
      <c r="Y1198" s="270"/>
      <c r="Z1198" s="270"/>
      <c r="AB1198" s="272" t="str">
        <f t="shared" si="59"/>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7"/>
        <v/>
      </c>
      <c r="T1199" s="224" t="str">
        <f ca="1">IF(B1199="","",IF(ISERROR(MATCH($J1199,SorP!$B$1:$B$6230,0)),"",INDIRECT("'SorP'!$A$"&amp;MATCH($J1199,SorP!$B$1:$B$6230,0))))</f>
        <v/>
      </c>
      <c r="U1199" s="239"/>
      <c r="V1199" s="269" t="e">
        <f>IF(C1199="",NA(),MATCH($B1199&amp;$C1199,'Smelter Look-up'!$J:$J,0))</f>
        <v>#N/A</v>
      </c>
      <c r="W1199" s="270"/>
      <c r="X1199" s="270">
        <f t="shared" ca="1" si="58"/>
        <v>0</v>
      </c>
      <c r="Y1199" s="270"/>
      <c r="Z1199" s="270"/>
      <c r="AB1199" s="272" t="str">
        <f t="shared" si="59"/>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7"/>
        <v/>
      </c>
      <c r="T1200" s="224" t="str">
        <f ca="1">IF(B1200="","",IF(ISERROR(MATCH($J1200,SorP!$B$1:$B$6230,0)),"",INDIRECT("'SorP'!$A$"&amp;MATCH($J1200,SorP!$B$1:$B$6230,0))))</f>
        <v/>
      </c>
      <c r="U1200" s="239"/>
      <c r="V1200" s="269" t="e">
        <f>IF(C1200="",NA(),MATCH($B1200&amp;$C1200,'Smelter Look-up'!$J:$J,0))</f>
        <v>#N/A</v>
      </c>
      <c r="W1200" s="270"/>
      <c r="X1200" s="270">
        <f t="shared" ca="1" si="58"/>
        <v>0</v>
      </c>
      <c r="Y1200" s="270"/>
      <c r="Z1200" s="270"/>
      <c r="AB1200" s="272" t="str">
        <f t="shared" si="59"/>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7"/>
        <v/>
      </c>
      <c r="T1201" s="224" t="str">
        <f ca="1">IF(B1201="","",IF(ISERROR(MATCH($J1201,SorP!$B$1:$B$6230,0)),"",INDIRECT("'SorP'!$A$"&amp;MATCH($J1201,SorP!$B$1:$B$6230,0))))</f>
        <v/>
      </c>
      <c r="U1201" s="239"/>
      <c r="V1201" s="269" t="e">
        <f>IF(C1201="",NA(),MATCH($B1201&amp;$C1201,'Smelter Look-up'!$J:$J,0))</f>
        <v>#N/A</v>
      </c>
      <c r="W1201" s="270"/>
      <c r="X1201" s="270">
        <f t="shared" ca="1" si="58"/>
        <v>0</v>
      </c>
      <c r="Y1201" s="270"/>
      <c r="Z1201" s="270"/>
      <c r="AB1201" s="272" t="str">
        <f t="shared" si="59"/>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7"/>
        <v/>
      </c>
      <c r="T1202" s="224" t="str">
        <f ca="1">IF(B1202="","",IF(ISERROR(MATCH($J1202,SorP!$B$1:$B$6230,0)),"",INDIRECT("'SorP'!$A$"&amp;MATCH($J1202,SorP!$B$1:$B$6230,0))))</f>
        <v/>
      </c>
      <c r="U1202" s="239"/>
      <c r="V1202" s="269" t="e">
        <f>IF(C1202="",NA(),MATCH($B1202&amp;$C1202,'Smelter Look-up'!$J:$J,0))</f>
        <v>#N/A</v>
      </c>
      <c r="W1202" s="270"/>
      <c r="X1202" s="270">
        <f t="shared" ca="1" si="58"/>
        <v>0</v>
      </c>
      <c r="Y1202" s="270"/>
      <c r="Z1202" s="270"/>
      <c r="AB1202" s="272" t="str">
        <f t="shared" si="59"/>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7"/>
        <v/>
      </c>
      <c r="T1203" s="224" t="str">
        <f ca="1">IF(B1203="","",IF(ISERROR(MATCH($J1203,SorP!$B$1:$B$6230,0)),"",INDIRECT("'SorP'!$A$"&amp;MATCH($J1203,SorP!$B$1:$B$6230,0))))</f>
        <v/>
      </c>
      <c r="U1203" s="239"/>
      <c r="V1203" s="269" t="e">
        <f>IF(C1203="",NA(),MATCH($B1203&amp;$C1203,'Smelter Look-up'!$J:$J,0))</f>
        <v>#N/A</v>
      </c>
      <c r="W1203" s="270"/>
      <c r="X1203" s="270">
        <f t="shared" ca="1" si="58"/>
        <v>0</v>
      </c>
      <c r="Y1203" s="270"/>
      <c r="Z1203" s="270"/>
      <c r="AB1203" s="272" t="str">
        <f t="shared" si="59"/>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7"/>
        <v/>
      </c>
      <c r="T1204" s="224" t="str">
        <f ca="1">IF(B1204="","",IF(ISERROR(MATCH($J1204,SorP!$B$1:$B$6230,0)),"",INDIRECT("'SorP'!$A$"&amp;MATCH($J1204,SorP!$B$1:$B$6230,0))))</f>
        <v/>
      </c>
      <c r="U1204" s="239"/>
      <c r="V1204" s="269" t="e">
        <f>IF(C1204="",NA(),MATCH($B1204&amp;$C1204,'Smelter Look-up'!$J:$J,0))</f>
        <v>#N/A</v>
      </c>
      <c r="W1204" s="270"/>
      <c r="X1204" s="270">
        <f t="shared" ca="1" si="58"/>
        <v>0</v>
      </c>
      <c r="Y1204" s="270"/>
      <c r="Z1204" s="270"/>
      <c r="AB1204" s="272" t="str">
        <f t="shared" si="59"/>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7"/>
        <v/>
      </c>
      <c r="T1205" s="224" t="str">
        <f ca="1">IF(B1205="","",IF(ISERROR(MATCH($J1205,SorP!$B$1:$B$6230,0)),"",INDIRECT("'SorP'!$A$"&amp;MATCH($J1205,SorP!$B$1:$B$6230,0))))</f>
        <v/>
      </c>
      <c r="U1205" s="239"/>
      <c r="V1205" s="269" t="e">
        <f>IF(C1205="",NA(),MATCH($B1205&amp;$C1205,'Smelter Look-up'!$J:$J,0))</f>
        <v>#N/A</v>
      </c>
      <c r="W1205" s="270"/>
      <c r="X1205" s="270">
        <f t="shared" ca="1" si="58"/>
        <v>0</v>
      </c>
      <c r="Y1205" s="270"/>
      <c r="Z1205" s="270"/>
      <c r="AB1205" s="272" t="str">
        <f t="shared" si="59"/>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7"/>
        <v/>
      </c>
      <c r="T1206" s="224" t="str">
        <f ca="1">IF(B1206="","",IF(ISERROR(MATCH($J1206,SorP!$B$1:$B$6230,0)),"",INDIRECT("'SorP'!$A$"&amp;MATCH($J1206,SorP!$B$1:$B$6230,0))))</f>
        <v/>
      </c>
      <c r="U1206" s="239"/>
      <c r="V1206" s="269" t="e">
        <f>IF(C1206="",NA(),MATCH($B1206&amp;$C1206,'Smelter Look-up'!$J:$J,0))</f>
        <v>#N/A</v>
      </c>
      <c r="W1206" s="270"/>
      <c r="X1206" s="270">
        <f t="shared" ca="1" si="58"/>
        <v>0</v>
      </c>
      <c r="Y1206" s="270"/>
      <c r="Z1206" s="270"/>
      <c r="AB1206" s="272" t="str">
        <f t="shared" si="59"/>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7"/>
        <v/>
      </c>
      <c r="T1207" s="224" t="str">
        <f ca="1">IF(B1207="","",IF(ISERROR(MATCH($J1207,SorP!$B$1:$B$6230,0)),"",INDIRECT("'SorP'!$A$"&amp;MATCH($J1207,SorP!$B$1:$B$6230,0))))</f>
        <v/>
      </c>
      <c r="U1207" s="239"/>
      <c r="V1207" s="269" t="e">
        <f>IF(C1207="",NA(),MATCH($B1207&amp;$C1207,'Smelter Look-up'!$J:$J,0))</f>
        <v>#N/A</v>
      </c>
      <c r="W1207" s="270"/>
      <c r="X1207" s="270">
        <f t="shared" ca="1" si="58"/>
        <v>0</v>
      </c>
      <c r="Y1207" s="270"/>
      <c r="Z1207" s="270"/>
      <c r="AB1207" s="272" t="str">
        <f t="shared" si="59"/>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7"/>
        <v/>
      </c>
      <c r="T1208" s="224" t="str">
        <f ca="1">IF(B1208="","",IF(ISERROR(MATCH($J1208,SorP!$B$1:$B$6230,0)),"",INDIRECT("'SorP'!$A$"&amp;MATCH($J1208,SorP!$B$1:$B$6230,0))))</f>
        <v/>
      </c>
      <c r="U1208" s="239"/>
      <c r="V1208" s="269" t="e">
        <f>IF(C1208="",NA(),MATCH($B1208&amp;$C1208,'Smelter Look-up'!$J:$J,0))</f>
        <v>#N/A</v>
      </c>
      <c r="W1208" s="270"/>
      <c r="X1208" s="270">
        <f t="shared" ca="1" si="58"/>
        <v>0</v>
      </c>
      <c r="Y1208" s="270"/>
      <c r="Z1208" s="270"/>
      <c r="AB1208" s="272" t="str">
        <f t="shared" si="59"/>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57"/>
        <v/>
      </c>
      <c r="T1209" s="224" t="str">
        <f ca="1">IF(B1209="","",IF(ISERROR(MATCH($J1209,SorP!$B$1:$B$6230,0)),"",INDIRECT("'SorP'!$A$"&amp;MATCH($J1209,SorP!$B$1:$B$6230,0))))</f>
        <v/>
      </c>
      <c r="U1209" s="239"/>
      <c r="V1209" s="269" t="e">
        <f>IF(C1209="",NA(),MATCH($B1209&amp;$C1209,'Smelter Look-up'!$J:$J,0))</f>
        <v>#N/A</v>
      </c>
      <c r="W1209" s="270"/>
      <c r="X1209" s="270">
        <f t="shared" ca="1" si="58"/>
        <v>0</v>
      </c>
      <c r="Y1209" s="270"/>
      <c r="Z1209" s="270"/>
      <c r="AB1209" s="272" t="str">
        <f t="shared" si="59"/>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57"/>
        <v/>
      </c>
      <c r="T1210" s="224" t="str">
        <f ca="1">IF(B1210="","",IF(ISERROR(MATCH($J1210,SorP!$B$1:$B$6230,0)),"",INDIRECT("'SorP'!$A$"&amp;MATCH($J1210,SorP!$B$1:$B$6230,0))))</f>
        <v/>
      </c>
      <c r="U1210" s="239"/>
      <c r="V1210" s="269" t="e">
        <f>IF(C1210="",NA(),MATCH($B1210&amp;$C1210,'Smelter Look-up'!$J:$J,0))</f>
        <v>#N/A</v>
      </c>
      <c r="W1210" s="270"/>
      <c r="X1210" s="270">
        <f t="shared" ca="1" si="58"/>
        <v>0</v>
      </c>
      <c r="Y1210" s="270"/>
      <c r="Z1210" s="270"/>
      <c r="AB1210" s="272" t="str">
        <f t="shared" si="59"/>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0">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1">IF(AND(C1211="Smelter not listed",OR(LEN(D1211)=0,LEN(E1211)=0)),1,0)</f>
        <v>0</v>
      </c>
      <c r="Y1211" s="270"/>
      <c r="Z1211" s="270"/>
      <c r="AB1211" s="272" t="str">
        <f t="shared" ref="AB1211:AB1274" si="62">B1211&amp;C1211</f>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0"/>
        <v/>
      </c>
      <c r="T1260" s="224" t="str">
        <f ca="1">IF(B1260="","",IF(ISERROR(MATCH($J1260,SorP!$B$1:$B$6230,0)),"",INDIRECT("'SorP'!$A$"&amp;MATCH($J1260,SorP!$B$1:$B$6230,0))))</f>
        <v/>
      </c>
      <c r="U1260" s="239"/>
      <c r="V1260" s="269" t="e">
        <f>IF(C1260="",NA(),MATCH($B1260&amp;$C1260,'Smelter Look-up'!$J:$J,0))</f>
        <v>#N/A</v>
      </c>
      <c r="W1260" s="270"/>
      <c r="X1260" s="270">
        <f t="shared" ca="1" si="61"/>
        <v>0</v>
      </c>
      <c r="Y1260" s="270"/>
      <c r="Z1260" s="270"/>
      <c r="AB1260" s="272" t="str">
        <f t="shared" si="62"/>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0"/>
        <v/>
      </c>
      <c r="T1261" s="224" t="str">
        <f ca="1">IF(B1261="","",IF(ISERROR(MATCH($J1261,SorP!$B$1:$B$6230,0)),"",INDIRECT("'SorP'!$A$"&amp;MATCH($J1261,SorP!$B$1:$B$6230,0))))</f>
        <v/>
      </c>
      <c r="U1261" s="239"/>
      <c r="V1261" s="269" t="e">
        <f>IF(C1261="",NA(),MATCH($B1261&amp;$C1261,'Smelter Look-up'!$J:$J,0))</f>
        <v>#N/A</v>
      </c>
      <c r="W1261" s="270"/>
      <c r="X1261" s="270">
        <f t="shared" ca="1" si="61"/>
        <v>0</v>
      </c>
      <c r="Y1261" s="270"/>
      <c r="Z1261" s="270"/>
      <c r="AB1261" s="272" t="str">
        <f t="shared" si="62"/>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0"/>
        <v/>
      </c>
      <c r="T1262" s="224" t="str">
        <f ca="1">IF(B1262="","",IF(ISERROR(MATCH($J1262,SorP!$B$1:$B$6230,0)),"",INDIRECT("'SorP'!$A$"&amp;MATCH($J1262,SorP!$B$1:$B$6230,0))))</f>
        <v/>
      </c>
      <c r="U1262" s="239"/>
      <c r="V1262" s="269" t="e">
        <f>IF(C1262="",NA(),MATCH($B1262&amp;$C1262,'Smelter Look-up'!$J:$J,0))</f>
        <v>#N/A</v>
      </c>
      <c r="W1262" s="270"/>
      <c r="X1262" s="270">
        <f t="shared" ca="1" si="61"/>
        <v>0</v>
      </c>
      <c r="Y1262" s="270"/>
      <c r="Z1262" s="270"/>
      <c r="AB1262" s="272" t="str">
        <f t="shared" si="62"/>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0"/>
        <v/>
      </c>
      <c r="T1263" s="224" t="str">
        <f ca="1">IF(B1263="","",IF(ISERROR(MATCH($J1263,SorP!$B$1:$B$6230,0)),"",INDIRECT("'SorP'!$A$"&amp;MATCH($J1263,SorP!$B$1:$B$6230,0))))</f>
        <v/>
      </c>
      <c r="U1263" s="239"/>
      <c r="V1263" s="269" t="e">
        <f>IF(C1263="",NA(),MATCH($B1263&amp;$C1263,'Smelter Look-up'!$J:$J,0))</f>
        <v>#N/A</v>
      </c>
      <c r="W1263" s="270"/>
      <c r="X1263" s="270">
        <f t="shared" ca="1" si="61"/>
        <v>0</v>
      </c>
      <c r="Y1263" s="270"/>
      <c r="Z1263" s="270"/>
      <c r="AB1263" s="272" t="str">
        <f t="shared" si="62"/>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0"/>
        <v/>
      </c>
      <c r="T1264" s="224" t="str">
        <f ca="1">IF(B1264="","",IF(ISERROR(MATCH($J1264,SorP!$B$1:$B$6230,0)),"",INDIRECT("'SorP'!$A$"&amp;MATCH($J1264,SorP!$B$1:$B$6230,0))))</f>
        <v/>
      </c>
      <c r="U1264" s="239"/>
      <c r="V1264" s="269" t="e">
        <f>IF(C1264="",NA(),MATCH($B1264&amp;$C1264,'Smelter Look-up'!$J:$J,0))</f>
        <v>#N/A</v>
      </c>
      <c r="W1264" s="270"/>
      <c r="X1264" s="270">
        <f t="shared" ca="1" si="61"/>
        <v>0</v>
      </c>
      <c r="Y1264" s="270"/>
      <c r="Z1264" s="270"/>
      <c r="AB1264" s="272" t="str">
        <f t="shared" si="62"/>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0"/>
        <v/>
      </c>
      <c r="T1265" s="224" t="str">
        <f ca="1">IF(B1265="","",IF(ISERROR(MATCH($J1265,SorP!$B$1:$B$6230,0)),"",INDIRECT("'SorP'!$A$"&amp;MATCH($J1265,SorP!$B$1:$B$6230,0))))</f>
        <v/>
      </c>
      <c r="U1265" s="239"/>
      <c r="V1265" s="269" t="e">
        <f>IF(C1265="",NA(),MATCH($B1265&amp;$C1265,'Smelter Look-up'!$J:$J,0))</f>
        <v>#N/A</v>
      </c>
      <c r="W1265" s="270"/>
      <c r="X1265" s="270">
        <f t="shared" ca="1" si="61"/>
        <v>0</v>
      </c>
      <c r="Y1265" s="270"/>
      <c r="Z1265" s="270"/>
      <c r="AB1265" s="272" t="str">
        <f t="shared" si="62"/>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0"/>
        <v/>
      </c>
      <c r="T1266" s="224" t="str">
        <f ca="1">IF(B1266="","",IF(ISERROR(MATCH($J1266,SorP!$B$1:$B$6230,0)),"",INDIRECT("'SorP'!$A$"&amp;MATCH($J1266,SorP!$B$1:$B$6230,0))))</f>
        <v/>
      </c>
      <c r="U1266" s="239"/>
      <c r="V1266" s="269" t="e">
        <f>IF(C1266="",NA(),MATCH($B1266&amp;$C1266,'Smelter Look-up'!$J:$J,0))</f>
        <v>#N/A</v>
      </c>
      <c r="W1266" s="270"/>
      <c r="X1266" s="270">
        <f t="shared" ca="1" si="61"/>
        <v>0</v>
      </c>
      <c r="Y1266" s="270"/>
      <c r="Z1266" s="270"/>
      <c r="AB1266" s="272" t="str">
        <f t="shared" si="62"/>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0"/>
        <v/>
      </c>
      <c r="T1267" s="224" t="str">
        <f ca="1">IF(B1267="","",IF(ISERROR(MATCH($J1267,SorP!$B$1:$B$6230,0)),"",INDIRECT("'SorP'!$A$"&amp;MATCH($J1267,SorP!$B$1:$B$6230,0))))</f>
        <v/>
      </c>
      <c r="U1267" s="239"/>
      <c r="V1267" s="269" t="e">
        <f>IF(C1267="",NA(),MATCH($B1267&amp;$C1267,'Smelter Look-up'!$J:$J,0))</f>
        <v>#N/A</v>
      </c>
      <c r="W1267" s="270"/>
      <c r="X1267" s="270">
        <f t="shared" ca="1" si="61"/>
        <v>0</v>
      </c>
      <c r="Y1267" s="270"/>
      <c r="Z1267" s="270"/>
      <c r="AB1267" s="272" t="str">
        <f t="shared" si="62"/>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0"/>
        <v/>
      </c>
      <c r="T1268" s="224" t="str">
        <f ca="1">IF(B1268="","",IF(ISERROR(MATCH($J1268,SorP!$B$1:$B$6230,0)),"",INDIRECT("'SorP'!$A$"&amp;MATCH($J1268,SorP!$B$1:$B$6230,0))))</f>
        <v/>
      </c>
      <c r="U1268" s="239"/>
      <c r="V1268" s="269" t="e">
        <f>IF(C1268="",NA(),MATCH($B1268&amp;$C1268,'Smelter Look-up'!$J:$J,0))</f>
        <v>#N/A</v>
      </c>
      <c r="W1268" s="270"/>
      <c r="X1268" s="270">
        <f t="shared" ca="1" si="61"/>
        <v>0</v>
      </c>
      <c r="Y1268" s="270"/>
      <c r="Z1268" s="270"/>
      <c r="AB1268" s="272" t="str">
        <f t="shared" si="62"/>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0"/>
        <v/>
      </c>
      <c r="T1269" s="224" t="str">
        <f ca="1">IF(B1269="","",IF(ISERROR(MATCH($J1269,SorP!$B$1:$B$6230,0)),"",INDIRECT("'SorP'!$A$"&amp;MATCH($J1269,SorP!$B$1:$B$6230,0))))</f>
        <v/>
      </c>
      <c r="U1269" s="239"/>
      <c r="V1269" s="269" t="e">
        <f>IF(C1269="",NA(),MATCH($B1269&amp;$C1269,'Smelter Look-up'!$J:$J,0))</f>
        <v>#N/A</v>
      </c>
      <c r="W1269" s="270"/>
      <c r="X1269" s="270">
        <f t="shared" ca="1" si="61"/>
        <v>0</v>
      </c>
      <c r="Y1269" s="270"/>
      <c r="Z1269" s="270"/>
      <c r="AB1269" s="272" t="str">
        <f t="shared" si="62"/>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0"/>
        <v/>
      </c>
      <c r="T1270" s="224" t="str">
        <f ca="1">IF(B1270="","",IF(ISERROR(MATCH($J1270,SorP!$B$1:$B$6230,0)),"",INDIRECT("'SorP'!$A$"&amp;MATCH($J1270,SorP!$B$1:$B$6230,0))))</f>
        <v/>
      </c>
      <c r="U1270" s="239"/>
      <c r="V1270" s="269" t="e">
        <f>IF(C1270="",NA(),MATCH($B1270&amp;$C1270,'Smelter Look-up'!$J:$J,0))</f>
        <v>#N/A</v>
      </c>
      <c r="W1270" s="270"/>
      <c r="X1270" s="270">
        <f t="shared" ca="1" si="61"/>
        <v>0</v>
      </c>
      <c r="Y1270" s="270"/>
      <c r="Z1270" s="270"/>
      <c r="AB1270" s="272" t="str">
        <f t="shared" si="62"/>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0"/>
        <v/>
      </c>
      <c r="T1271" s="224" t="str">
        <f ca="1">IF(B1271="","",IF(ISERROR(MATCH($J1271,SorP!$B$1:$B$6230,0)),"",INDIRECT("'SorP'!$A$"&amp;MATCH($J1271,SorP!$B$1:$B$6230,0))))</f>
        <v/>
      </c>
      <c r="U1271" s="239"/>
      <c r="V1271" s="269" t="e">
        <f>IF(C1271="",NA(),MATCH($B1271&amp;$C1271,'Smelter Look-up'!$J:$J,0))</f>
        <v>#N/A</v>
      </c>
      <c r="W1271" s="270"/>
      <c r="X1271" s="270">
        <f t="shared" ca="1" si="61"/>
        <v>0</v>
      </c>
      <c r="Y1271" s="270"/>
      <c r="Z1271" s="270"/>
      <c r="AB1271" s="272" t="str">
        <f t="shared" si="62"/>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0"/>
        <v/>
      </c>
      <c r="T1272" s="224" t="str">
        <f ca="1">IF(B1272="","",IF(ISERROR(MATCH($J1272,SorP!$B$1:$B$6230,0)),"",INDIRECT("'SorP'!$A$"&amp;MATCH($J1272,SorP!$B$1:$B$6230,0))))</f>
        <v/>
      </c>
      <c r="U1272" s="239"/>
      <c r="V1272" s="269" t="e">
        <f>IF(C1272="",NA(),MATCH($B1272&amp;$C1272,'Smelter Look-up'!$J:$J,0))</f>
        <v>#N/A</v>
      </c>
      <c r="W1272" s="270"/>
      <c r="X1272" s="270">
        <f t="shared" ca="1" si="61"/>
        <v>0</v>
      </c>
      <c r="Y1272" s="270"/>
      <c r="Z1272" s="270"/>
      <c r="AB1272" s="272" t="str">
        <f t="shared" si="62"/>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0"/>
        <v/>
      </c>
      <c r="T1273" s="224" t="str">
        <f ca="1">IF(B1273="","",IF(ISERROR(MATCH($J1273,SorP!$B$1:$B$6230,0)),"",INDIRECT("'SorP'!$A$"&amp;MATCH($J1273,SorP!$B$1:$B$6230,0))))</f>
        <v/>
      </c>
      <c r="U1273" s="239"/>
      <c r="V1273" s="269" t="e">
        <f>IF(C1273="",NA(),MATCH($B1273&amp;$C1273,'Smelter Look-up'!$J:$J,0))</f>
        <v>#N/A</v>
      </c>
      <c r="W1273" s="270"/>
      <c r="X1273" s="270">
        <f t="shared" ca="1" si="61"/>
        <v>0</v>
      </c>
      <c r="Y1273" s="270"/>
      <c r="Z1273" s="270"/>
      <c r="AB1273" s="272" t="str">
        <f t="shared" si="62"/>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0"/>
        <v/>
      </c>
      <c r="T1274" s="224" t="str">
        <f ca="1">IF(B1274="","",IF(ISERROR(MATCH($J1274,SorP!$B$1:$B$6230,0)),"",INDIRECT("'SorP'!$A$"&amp;MATCH($J1274,SorP!$B$1:$B$6230,0))))</f>
        <v/>
      </c>
      <c r="U1274" s="239"/>
      <c r="V1274" s="269" t="e">
        <f>IF(C1274="",NA(),MATCH($B1274&amp;$C1274,'Smelter Look-up'!$J:$J,0))</f>
        <v>#N/A</v>
      </c>
      <c r="W1274" s="270"/>
      <c r="X1274" s="270">
        <f t="shared" ca="1" si="61"/>
        <v>0</v>
      </c>
      <c r="Y1274" s="270"/>
      <c r="Z1274" s="270"/>
      <c r="AB1274" s="272" t="str">
        <f t="shared" si="62"/>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3">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4">IF(AND(C1275="Smelter not listed",OR(LEN(D1275)=0,LEN(E1275)=0)),1,0)</f>
        <v>0</v>
      </c>
      <c r="Y1275" s="270"/>
      <c r="Z1275" s="270"/>
      <c r="AB1275" s="272" t="str">
        <f t="shared" ref="AB1275:AB1338" si="65">B1275&amp;C1275</f>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3"/>
        <v/>
      </c>
      <c r="T1324" s="224" t="str">
        <f ca="1">IF(B1324="","",IF(ISERROR(MATCH($J1324,SorP!$B$1:$B$6230,0)),"",INDIRECT("'SorP'!$A$"&amp;MATCH($J1324,SorP!$B$1:$B$6230,0))))</f>
        <v/>
      </c>
      <c r="U1324" s="239"/>
      <c r="V1324" s="269" t="e">
        <f>IF(C1324="",NA(),MATCH($B1324&amp;$C1324,'Smelter Look-up'!$J:$J,0))</f>
        <v>#N/A</v>
      </c>
      <c r="W1324" s="270"/>
      <c r="X1324" s="270">
        <f t="shared" ca="1" si="64"/>
        <v>0</v>
      </c>
      <c r="Y1324" s="270"/>
      <c r="Z1324" s="270"/>
      <c r="AB1324" s="272" t="str">
        <f t="shared" si="65"/>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3"/>
        <v/>
      </c>
      <c r="T1325" s="224" t="str">
        <f ca="1">IF(B1325="","",IF(ISERROR(MATCH($J1325,SorP!$B$1:$B$6230,0)),"",INDIRECT("'SorP'!$A$"&amp;MATCH($J1325,SorP!$B$1:$B$6230,0))))</f>
        <v/>
      </c>
      <c r="U1325" s="239"/>
      <c r="V1325" s="269" t="e">
        <f>IF(C1325="",NA(),MATCH($B1325&amp;$C1325,'Smelter Look-up'!$J:$J,0))</f>
        <v>#N/A</v>
      </c>
      <c r="W1325" s="270"/>
      <c r="X1325" s="270">
        <f t="shared" ca="1" si="64"/>
        <v>0</v>
      </c>
      <c r="Y1325" s="270"/>
      <c r="Z1325" s="270"/>
      <c r="AB1325" s="272" t="str">
        <f t="shared" si="65"/>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3"/>
        <v/>
      </c>
      <c r="T1326" s="224" t="str">
        <f ca="1">IF(B1326="","",IF(ISERROR(MATCH($J1326,SorP!$B$1:$B$6230,0)),"",INDIRECT("'SorP'!$A$"&amp;MATCH($J1326,SorP!$B$1:$B$6230,0))))</f>
        <v/>
      </c>
      <c r="U1326" s="239"/>
      <c r="V1326" s="269" t="e">
        <f>IF(C1326="",NA(),MATCH($B1326&amp;$C1326,'Smelter Look-up'!$J:$J,0))</f>
        <v>#N/A</v>
      </c>
      <c r="W1326" s="270"/>
      <c r="X1326" s="270">
        <f t="shared" ca="1" si="64"/>
        <v>0</v>
      </c>
      <c r="Y1326" s="270"/>
      <c r="Z1326" s="270"/>
      <c r="AB1326" s="272" t="str">
        <f t="shared" si="65"/>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3"/>
        <v/>
      </c>
      <c r="T1327" s="224" t="str">
        <f ca="1">IF(B1327="","",IF(ISERROR(MATCH($J1327,SorP!$B$1:$B$6230,0)),"",INDIRECT("'SorP'!$A$"&amp;MATCH($J1327,SorP!$B$1:$B$6230,0))))</f>
        <v/>
      </c>
      <c r="U1327" s="239"/>
      <c r="V1327" s="269" t="e">
        <f>IF(C1327="",NA(),MATCH($B1327&amp;$C1327,'Smelter Look-up'!$J:$J,0))</f>
        <v>#N/A</v>
      </c>
      <c r="W1327" s="270"/>
      <c r="X1327" s="270">
        <f t="shared" ca="1" si="64"/>
        <v>0</v>
      </c>
      <c r="Y1327" s="270"/>
      <c r="Z1327" s="270"/>
      <c r="AB1327" s="272" t="str">
        <f t="shared" si="65"/>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3"/>
        <v/>
      </c>
      <c r="T1328" s="224" t="str">
        <f ca="1">IF(B1328="","",IF(ISERROR(MATCH($J1328,SorP!$B$1:$B$6230,0)),"",INDIRECT("'SorP'!$A$"&amp;MATCH($J1328,SorP!$B$1:$B$6230,0))))</f>
        <v/>
      </c>
      <c r="U1328" s="239"/>
      <c r="V1328" s="269" t="e">
        <f>IF(C1328="",NA(),MATCH($B1328&amp;$C1328,'Smelter Look-up'!$J:$J,0))</f>
        <v>#N/A</v>
      </c>
      <c r="W1328" s="270"/>
      <c r="X1328" s="270">
        <f t="shared" ca="1" si="64"/>
        <v>0</v>
      </c>
      <c r="Y1328" s="270"/>
      <c r="Z1328" s="270"/>
      <c r="AB1328" s="272" t="str">
        <f t="shared" si="65"/>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3"/>
        <v/>
      </c>
      <c r="T1329" s="224" t="str">
        <f ca="1">IF(B1329="","",IF(ISERROR(MATCH($J1329,SorP!$B$1:$B$6230,0)),"",INDIRECT("'SorP'!$A$"&amp;MATCH($J1329,SorP!$B$1:$B$6230,0))))</f>
        <v/>
      </c>
      <c r="U1329" s="239"/>
      <c r="V1329" s="269" t="e">
        <f>IF(C1329="",NA(),MATCH($B1329&amp;$C1329,'Smelter Look-up'!$J:$J,0))</f>
        <v>#N/A</v>
      </c>
      <c r="W1329" s="270"/>
      <c r="X1329" s="270">
        <f t="shared" ca="1" si="64"/>
        <v>0</v>
      </c>
      <c r="Y1329" s="270"/>
      <c r="Z1329" s="270"/>
      <c r="AB1329" s="272" t="str">
        <f t="shared" si="65"/>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3"/>
        <v/>
      </c>
      <c r="T1330" s="224" t="str">
        <f ca="1">IF(B1330="","",IF(ISERROR(MATCH($J1330,SorP!$B$1:$B$6230,0)),"",INDIRECT("'SorP'!$A$"&amp;MATCH($J1330,SorP!$B$1:$B$6230,0))))</f>
        <v/>
      </c>
      <c r="U1330" s="239"/>
      <c r="V1330" s="269" t="e">
        <f>IF(C1330="",NA(),MATCH($B1330&amp;$C1330,'Smelter Look-up'!$J:$J,0))</f>
        <v>#N/A</v>
      </c>
      <c r="W1330" s="270"/>
      <c r="X1330" s="270">
        <f t="shared" ca="1" si="64"/>
        <v>0</v>
      </c>
      <c r="Y1330" s="270"/>
      <c r="Z1330" s="270"/>
      <c r="AB1330" s="272" t="str">
        <f t="shared" si="65"/>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3"/>
        <v/>
      </c>
      <c r="T1331" s="224" t="str">
        <f ca="1">IF(B1331="","",IF(ISERROR(MATCH($J1331,SorP!$B$1:$B$6230,0)),"",INDIRECT("'SorP'!$A$"&amp;MATCH($J1331,SorP!$B$1:$B$6230,0))))</f>
        <v/>
      </c>
      <c r="U1331" s="239"/>
      <c r="V1331" s="269" t="e">
        <f>IF(C1331="",NA(),MATCH($B1331&amp;$C1331,'Smelter Look-up'!$J:$J,0))</f>
        <v>#N/A</v>
      </c>
      <c r="W1331" s="270"/>
      <c r="X1331" s="270">
        <f t="shared" ca="1" si="64"/>
        <v>0</v>
      </c>
      <c r="Y1331" s="270"/>
      <c r="Z1331" s="270"/>
      <c r="AB1331" s="272" t="str">
        <f t="shared" si="65"/>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3"/>
        <v/>
      </c>
      <c r="T1332" s="224" t="str">
        <f ca="1">IF(B1332="","",IF(ISERROR(MATCH($J1332,SorP!$B$1:$B$6230,0)),"",INDIRECT("'SorP'!$A$"&amp;MATCH($J1332,SorP!$B$1:$B$6230,0))))</f>
        <v/>
      </c>
      <c r="U1332" s="239"/>
      <c r="V1332" s="269" t="e">
        <f>IF(C1332="",NA(),MATCH($B1332&amp;$C1332,'Smelter Look-up'!$J:$J,0))</f>
        <v>#N/A</v>
      </c>
      <c r="W1332" s="270"/>
      <c r="X1332" s="270">
        <f t="shared" ca="1" si="64"/>
        <v>0</v>
      </c>
      <c r="Y1332" s="270"/>
      <c r="Z1332" s="270"/>
      <c r="AB1332" s="272" t="str">
        <f t="shared" si="65"/>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3"/>
        <v/>
      </c>
      <c r="T1333" s="224" t="str">
        <f ca="1">IF(B1333="","",IF(ISERROR(MATCH($J1333,SorP!$B$1:$B$6230,0)),"",INDIRECT("'SorP'!$A$"&amp;MATCH($J1333,SorP!$B$1:$B$6230,0))))</f>
        <v/>
      </c>
      <c r="U1333" s="239"/>
      <c r="V1333" s="269" t="e">
        <f>IF(C1333="",NA(),MATCH($B1333&amp;$C1333,'Smelter Look-up'!$J:$J,0))</f>
        <v>#N/A</v>
      </c>
      <c r="W1333" s="270"/>
      <c r="X1333" s="270">
        <f t="shared" ca="1" si="64"/>
        <v>0</v>
      </c>
      <c r="Y1333" s="270"/>
      <c r="Z1333" s="270"/>
      <c r="AB1333" s="272" t="str">
        <f t="shared" si="65"/>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3"/>
        <v/>
      </c>
      <c r="T1334" s="224" t="str">
        <f ca="1">IF(B1334="","",IF(ISERROR(MATCH($J1334,SorP!$B$1:$B$6230,0)),"",INDIRECT("'SorP'!$A$"&amp;MATCH($J1334,SorP!$B$1:$B$6230,0))))</f>
        <v/>
      </c>
      <c r="U1334" s="239"/>
      <c r="V1334" s="269" t="e">
        <f>IF(C1334="",NA(),MATCH($B1334&amp;$C1334,'Smelter Look-up'!$J:$J,0))</f>
        <v>#N/A</v>
      </c>
      <c r="W1334" s="270"/>
      <c r="X1334" s="270">
        <f t="shared" ca="1" si="64"/>
        <v>0</v>
      </c>
      <c r="Y1334" s="270"/>
      <c r="Z1334" s="270"/>
      <c r="AB1334" s="272" t="str">
        <f t="shared" si="65"/>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3"/>
        <v/>
      </c>
      <c r="T1335" s="224" t="str">
        <f ca="1">IF(B1335="","",IF(ISERROR(MATCH($J1335,SorP!$B$1:$B$6230,0)),"",INDIRECT("'SorP'!$A$"&amp;MATCH($J1335,SorP!$B$1:$B$6230,0))))</f>
        <v/>
      </c>
      <c r="U1335" s="239"/>
      <c r="V1335" s="269" t="e">
        <f>IF(C1335="",NA(),MATCH($B1335&amp;$C1335,'Smelter Look-up'!$J:$J,0))</f>
        <v>#N/A</v>
      </c>
      <c r="W1335" s="270"/>
      <c r="X1335" s="270">
        <f t="shared" ca="1" si="64"/>
        <v>0</v>
      </c>
      <c r="Y1335" s="270"/>
      <c r="Z1335" s="270"/>
      <c r="AB1335" s="272" t="str">
        <f t="shared" si="65"/>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3"/>
        <v/>
      </c>
      <c r="T1336" s="224" t="str">
        <f ca="1">IF(B1336="","",IF(ISERROR(MATCH($J1336,SorP!$B$1:$B$6230,0)),"",INDIRECT("'SorP'!$A$"&amp;MATCH($J1336,SorP!$B$1:$B$6230,0))))</f>
        <v/>
      </c>
      <c r="U1336" s="239"/>
      <c r="V1336" s="269" t="e">
        <f>IF(C1336="",NA(),MATCH($B1336&amp;$C1336,'Smelter Look-up'!$J:$J,0))</f>
        <v>#N/A</v>
      </c>
      <c r="W1336" s="270"/>
      <c r="X1336" s="270">
        <f t="shared" ca="1" si="64"/>
        <v>0</v>
      </c>
      <c r="Y1336" s="270"/>
      <c r="Z1336" s="270"/>
      <c r="AB1336" s="272" t="str">
        <f t="shared" si="65"/>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3"/>
        <v/>
      </c>
      <c r="T1337" s="224" t="str">
        <f ca="1">IF(B1337="","",IF(ISERROR(MATCH($J1337,SorP!$B$1:$B$6230,0)),"",INDIRECT("'SorP'!$A$"&amp;MATCH($J1337,SorP!$B$1:$B$6230,0))))</f>
        <v/>
      </c>
      <c r="U1337" s="239"/>
      <c r="V1337" s="269" t="e">
        <f>IF(C1337="",NA(),MATCH($B1337&amp;$C1337,'Smelter Look-up'!$J:$J,0))</f>
        <v>#N/A</v>
      </c>
      <c r="W1337" s="270"/>
      <c r="X1337" s="270">
        <f t="shared" ca="1" si="64"/>
        <v>0</v>
      </c>
      <c r="Y1337" s="270"/>
      <c r="Z1337" s="270"/>
      <c r="AB1337" s="272" t="str">
        <f t="shared" si="65"/>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3"/>
        <v/>
      </c>
      <c r="T1338" s="224" t="str">
        <f ca="1">IF(B1338="","",IF(ISERROR(MATCH($J1338,SorP!$B$1:$B$6230,0)),"",INDIRECT("'SorP'!$A$"&amp;MATCH($J1338,SorP!$B$1:$B$6230,0))))</f>
        <v/>
      </c>
      <c r="U1338" s="239"/>
      <c r="V1338" s="269" t="e">
        <f>IF(C1338="",NA(),MATCH($B1338&amp;$C1338,'Smelter Look-up'!$J:$J,0))</f>
        <v>#N/A</v>
      </c>
      <c r="W1338" s="270"/>
      <c r="X1338" s="270">
        <f t="shared" ca="1" si="64"/>
        <v>0</v>
      </c>
      <c r="Y1338" s="270"/>
      <c r="Z1338" s="270"/>
      <c r="AB1338" s="272" t="str">
        <f t="shared" si="65"/>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6">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67">IF(AND(C1339="Smelter not listed",OR(LEN(D1339)=0,LEN(E1339)=0)),1,0)</f>
        <v>0</v>
      </c>
      <c r="Y1339" s="270"/>
      <c r="Z1339" s="270"/>
      <c r="AB1339" s="272" t="str">
        <f t="shared" ref="AB1339:AB1402" si="68">B1339&amp;C1339</f>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6"/>
        <v/>
      </c>
      <c r="T1388" s="224" t="str">
        <f ca="1">IF(B1388="","",IF(ISERROR(MATCH($J1388,SorP!$B$1:$B$6230,0)),"",INDIRECT("'SorP'!$A$"&amp;MATCH($J1388,SorP!$B$1:$B$6230,0))))</f>
        <v/>
      </c>
      <c r="U1388" s="239"/>
      <c r="V1388" s="269" t="e">
        <f>IF(C1388="",NA(),MATCH($B1388&amp;$C1388,'Smelter Look-up'!$J:$J,0))</f>
        <v>#N/A</v>
      </c>
      <c r="W1388" s="270"/>
      <c r="X1388" s="270">
        <f t="shared" ca="1" si="67"/>
        <v>0</v>
      </c>
      <c r="Y1388" s="270"/>
      <c r="Z1388" s="270"/>
      <c r="AB1388" s="272" t="str">
        <f t="shared" si="68"/>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6"/>
        <v/>
      </c>
      <c r="T1389" s="224" t="str">
        <f ca="1">IF(B1389="","",IF(ISERROR(MATCH($J1389,SorP!$B$1:$B$6230,0)),"",INDIRECT("'SorP'!$A$"&amp;MATCH($J1389,SorP!$B$1:$B$6230,0))))</f>
        <v/>
      </c>
      <c r="U1389" s="239"/>
      <c r="V1389" s="269" t="e">
        <f>IF(C1389="",NA(),MATCH($B1389&amp;$C1389,'Smelter Look-up'!$J:$J,0))</f>
        <v>#N/A</v>
      </c>
      <c r="W1389" s="270"/>
      <c r="X1389" s="270">
        <f t="shared" ca="1" si="67"/>
        <v>0</v>
      </c>
      <c r="Y1389" s="270"/>
      <c r="Z1389" s="270"/>
      <c r="AB1389" s="272" t="str">
        <f t="shared" si="68"/>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6"/>
        <v/>
      </c>
      <c r="T1390" s="224" t="str">
        <f ca="1">IF(B1390="","",IF(ISERROR(MATCH($J1390,SorP!$B$1:$B$6230,0)),"",INDIRECT("'SorP'!$A$"&amp;MATCH($J1390,SorP!$B$1:$B$6230,0))))</f>
        <v/>
      </c>
      <c r="U1390" s="239"/>
      <c r="V1390" s="269" t="e">
        <f>IF(C1390="",NA(),MATCH($B1390&amp;$C1390,'Smelter Look-up'!$J:$J,0))</f>
        <v>#N/A</v>
      </c>
      <c r="W1390" s="270"/>
      <c r="X1390" s="270">
        <f t="shared" ca="1" si="67"/>
        <v>0</v>
      </c>
      <c r="Y1390" s="270"/>
      <c r="Z1390" s="270"/>
      <c r="AB1390" s="272" t="str">
        <f t="shared" si="68"/>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6"/>
        <v/>
      </c>
      <c r="T1391" s="224" t="str">
        <f ca="1">IF(B1391="","",IF(ISERROR(MATCH($J1391,SorP!$B$1:$B$6230,0)),"",INDIRECT("'SorP'!$A$"&amp;MATCH($J1391,SorP!$B$1:$B$6230,0))))</f>
        <v/>
      </c>
      <c r="U1391" s="239"/>
      <c r="V1391" s="269" t="e">
        <f>IF(C1391="",NA(),MATCH($B1391&amp;$C1391,'Smelter Look-up'!$J:$J,0))</f>
        <v>#N/A</v>
      </c>
      <c r="W1391" s="270"/>
      <c r="X1391" s="270">
        <f t="shared" ca="1" si="67"/>
        <v>0</v>
      </c>
      <c r="Y1391" s="270"/>
      <c r="Z1391" s="270"/>
      <c r="AB1391" s="272" t="str">
        <f t="shared" si="68"/>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6"/>
        <v/>
      </c>
      <c r="T1392" s="224" t="str">
        <f ca="1">IF(B1392="","",IF(ISERROR(MATCH($J1392,SorP!$B$1:$B$6230,0)),"",INDIRECT("'SorP'!$A$"&amp;MATCH($J1392,SorP!$B$1:$B$6230,0))))</f>
        <v/>
      </c>
      <c r="U1392" s="239"/>
      <c r="V1392" s="269" t="e">
        <f>IF(C1392="",NA(),MATCH($B1392&amp;$C1392,'Smelter Look-up'!$J:$J,0))</f>
        <v>#N/A</v>
      </c>
      <c r="W1392" s="270"/>
      <c r="X1392" s="270">
        <f t="shared" ca="1" si="67"/>
        <v>0</v>
      </c>
      <c r="Y1392" s="270"/>
      <c r="Z1392" s="270"/>
      <c r="AB1392" s="272" t="str">
        <f t="shared" si="68"/>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6"/>
        <v/>
      </c>
      <c r="T1393" s="224" t="str">
        <f ca="1">IF(B1393="","",IF(ISERROR(MATCH($J1393,SorP!$B$1:$B$6230,0)),"",INDIRECT("'SorP'!$A$"&amp;MATCH($J1393,SorP!$B$1:$B$6230,0))))</f>
        <v/>
      </c>
      <c r="U1393" s="239"/>
      <c r="V1393" s="269" t="e">
        <f>IF(C1393="",NA(),MATCH($B1393&amp;$C1393,'Smelter Look-up'!$J:$J,0))</f>
        <v>#N/A</v>
      </c>
      <c r="W1393" s="270"/>
      <c r="X1393" s="270">
        <f t="shared" ca="1" si="67"/>
        <v>0</v>
      </c>
      <c r="Y1393" s="270"/>
      <c r="Z1393" s="270"/>
      <c r="AB1393" s="272" t="str">
        <f t="shared" si="68"/>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6"/>
        <v/>
      </c>
      <c r="T1394" s="224" t="str">
        <f ca="1">IF(B1394="","",IF(ISERROR(MATCH($J1394,SorP!$B$1:$B$6230,0)),"",INDIRECT("'SorP'!$A$"&amp;MATCH($J1394,SorP!$B$1:$B$6230,0))))</f>
        <v/>
      </c>
      <c r="U1394" s="239"/>
      <c r="V1394" s="269" t="e">
        <f>IF(C1394="",NA(),MATCH($B1394&amp;$C1394,'Smelter Look-up'!$J:$J,0))</f>
        <v>#N/A</v>
      </c>
      <c r="W1394" s="270"/>
      <c r="X1394" s="270">
        <f t="shared" ca="1" si="67"/>
        <v>0</v>
      </c>
      <c r="Y1394" s="270"/>
      <c r="Z1394" s="270"/>
      <c r="AB1394" s="272" t="str">
        <f t="shared" si="68"/>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6"/>
        <v/>
      </c>
      <c r="T1395" s="224" t="str">
        <f ca="1">IF(B1395="","",IF(ISERROR(MATCH($J1395,SorP!$B$1:$B$6230,0)),"",INDIRECT("'SorP'!$A$"&amp;MATCH($J1395,SorP!$B$1:$B$6230,0))))</f>
        <v/>
      </c>
      <c r="U1395" s="239"/>
      <c r="V1395" s="269" t="e">
        <f>IF(C1395="",NA(),MATCH($B1395&amp;$C1395,'Smelter Look-up'!$J:$J,0))</f>
        <v>#N/A</v>
      </c>
      <c r="W1395" s="270"/>
      <c r="X1395" s="270">
        <f t="shared" ca="1" si="67"/>
        <v>0</v>
      </c>
      <c r="Y1395" s="270"/>
      <c r="Z1395" s="270"/>
      <c r="AB1395" s="272" t="str">
        <f t="shared" si="68"/>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6"/>
        <v/>
      </c>
      <c r="T1396" s="224" t="str">
        <f ca="1">IF(B1396="","",IF(ISERROR(MATCH($J1396,SorP!$B$1:$B$6230,0)),"",INDIRECT("'SorP'!$A$"&amp;MATCH($J1396,SorP!$B$1:$B$6230,0))))</f>
        <v/>
      </c>
      <c r="U1396" s="239"/>
      <c r="V1396" s="269" t="e">
        <f>IF(C1396="",NA(),MATCH($B1396&amp;$C1396,'Smelter Look-up'!$J:$J,0))</f>
        <v>#N/A</v>
      </c>
      <c r="W1396" s="270"/>
      <c r="X1396" s="270">
        <f t="shared" ca="1" si="67"/>
        <v>0</v>
      </c>
      <c r="Y1396" s="270"/>
      <c r="Z1396" s="270"/>
      <c r="AB1396" s="272" t="str">
        <f t="shared" si="68"/>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6"/>
        <v/>
      </c>
      <c r="T1397" s="224" t="str">
        <f ca="1">IF(B1397="","",IF(ISERROR(MATCH($J1397,SorP!$B$1:$B$6230,0)),"",INDIRECT("'SorP'!$A$"&amp;MATCH($J1397,SorP!$B$1:$B$6230,0))))</f>
        <v/>
      </c>
      <c r="U1397" s="239"/>
      <c r="V1397" s="269" t="e">
        <f>IF(C1397="",NA(),MATCH($B1397&amp;$C1397,'Smelter Look-up'!$J:$J,0))</f>
        <v>#N/A</v>
      </c>
      <c r="W1397" s="270"/>
      <c r="X1397" s="270">
        <f t="shared" ca="1" si="67"/>
        <v>0</v>
      </c>
      <c r="Y1397" s="270"/>
      <c r="Z1397" s="270"/>
      <c r="AB1397" s="272" t="str">
        <f t="shared" si="68"/>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6"/>
        <v/>
      </c>
      <c r="T1398" s="224" t="str">
        <f ca="1">IF(B1398="","",IF(ISERROR(MATCH($J1398,SorP!$B$1:$B$6230,0)),"",INDIRECT("'SorP'!$A$"&amp;MATCH($J1398,SorP!$B$1:$B$6230,0))))</f>
        <v/>
      </c>
      <c r="U1398" s="239"/>
      <c r="V1398" s="269" t="e">
        <f>IF(C1398="",NA(),MATCH($B1398&amp;$C1398,'Smelter Look-up'!$J:$J,0))</f>
        <v>#N/A</v>
      </c>
      <c r="W1398" s="270"/>
      <c r="X1398" s="270">
        <f t="shared" ca="1" si="67"/>
        <v>0</v>
      </c>
      <c r="Y1398" s="270"/>
      <c r="Z1398" s="270"/>
      <c r="AB1398" s="272" t="str">
        <f t="shared" si="68"/>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6"/>
        <v/>
      </c>
      <c r="T1399" s="224" t="str">
        <f ca="1">IF(B1399="","",IF(ISERROR(MATCH($J1399,SorP!$B$1:$B$6230,0)),"",INDIRECT("'SorP'!$A$"&amp;MATCH($J1399,SorP!$B$1:$B$6230,0))))</f>
        <v/>
      </c>
      <c r="U1399" s="239"/>
      <c r="V1399" s="269" t="e">
        <f>IF(C1399="",NA(),MATCH($B1399&amp;$C1399,'Smelter Look-up'!$J:$J,0))</f>
        <v>#N/A</v>
      </c>
      <c r="W1399" s="270"/>
      <c r="X1399" s="270">
        <f t="shared" ca="1" si="67"/>
        <v>0</v>
      </c>
      <c r="Y1399" s="270"/>
      <c r="Z1399" s="270"/>
      <c r="AB1399" s="272" t="str">
        <f t="shared" si="68"/>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6"/>
        <v/>
      </c>
      <c r="T1400" s="224" t="str">
        <f ca="1">IF(B1400="","",IF(ISERROR(MATCH($J1400,SorP!$B$1:$B$6230,0)),"",INDIRECT("'SorP'!$A$"&amp;MATCH($J1400,SorP!$B$1:$B$6230,0))))</f>
        <v/>
      </c>
      <c r="U1400" s="239"/>
      <c r="V1400" s="269" t="e">
        <f>IF(C1400="",NA(),MATCH($B1400&amp;$C1400,'Smelter Look-up'!$J:$J,0))</f>
        <v>#N/A</v>
      </c>
      <c r="W1400" s="270"/>
      <c r="X1400" s="270">
        <f t="shared" ca="1" si="67"/>
        <v>0</v>
      </c>
      <c r="Y1400" s="270"/>
      <c r="Z1400" s="270"/>
      <c r="AB1400" s="272" t="str">
        <f t="shared" si="68"/>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6"/>
        <v/>
      </c>
      <c r="T1401" s="224" t="str">
        <f ca="1">IF(B1401="","",IF(ISERROR(MATCH($J1401,SorP!$B$1:$B$6230,0)),"",INDIRECT("'SorP'!$A$"&amp;MATCH($J1401,SorP!$B$1:$B$6230,0))))</f>
        <v/>
      </c>
      <c r="U1401" s="239"/>
      <c r="V1401" s="269" t="e">
        <f>IF(C1401="",NA(),MATCH($B1401&amp;$C1401,'Smelter Look-up'!$J:$J,0))</f>
        <v>#N/A</v>
      </c>
      <c r="W1401" s="270"/>
      <c r="X1401" s="270">
        <f t="shared" ca="1" si="67"/>
        <v>0</v>
      </c>
      <c r="Y1401" s="270"/>
      <c r="Z1401" s="270"/>
      <c r="AB1401" s="272" t="str">
        <f t="shared" si="68"/>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6"/>
        <v/>
      </c>
      <c r="T1402" s="224" t="str">
        <f ca="1">IF(B1402="","",IF(ISERROR(MATCH($J1402,SorP!$B$1:$B$6230,0)),"",INDIRECT("'SorP'!$A$"&amp;MATCH($J1402,SorP!$B$1:$B$6230,0))))</f>
        <v/>
      </c>
      <c r="U1402" s="239"/>
      <c r="V1402" s="269" t="e">
        <f>IF(C1402="",NA(),MATCH($B1402&amp;$C1402,'Smelter Look-up'!$J:$J,0))</f>
        <v>#N/A</v>
      </c>
      <c r="W1402" s="270"/>
      <c r="X1402" s="270">
        <f t="shared" ca="1" si="67"/>
        <v>0</v>
      </c>
      <c r="Y1402" s="270"/>
      <c r="Z1402" s="270"/>
      <c r="AB1402" s="272" t="str">
        <f t="shared" si="68"/>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69">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0">IF(AND(C1403="Smelter not listed",OR(LEN(D1403)=0,LEN(E1403)=0)),1,0)</f>
        <v>0</v>
      </c>
      <c r="Y1403" s="270"/>
      <c r="Z1403" s="270"/>
      <c r="AB1403" s="272" t="str">
        <f t="shared" ref="AB1403:AB1466" si="71">B1403&amp;C1403</f>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9"/>
        <v/>
      </c>
      <c r="T1452" s="224" t="str">
        <f ca="1">IF(B1452="","",IF(ISERROR(MATCH($J1452,SorP!$B$1:$B$6230,0)),"",INDIRECT("'SorP'!$A$"&amp;MATCH($J1452,SorP!$B$1:$B$6230,0))))</f>
        <v/>
      </c>
      <c r="U1452" s="239"/>
      <c r="V1452" s="269" t="e">
        <f>IF(C1452="",NA(),MATCH($B1452&amp;$C1452,'Smelter Look-up'!$J:$J,0))</f>
        <v>#N/A</v>
      </c>
      <c r="W1452" s="270"/>
      <c r="X1452" s="270">
        <f t="shared" ca="1" si="70"/>
        <v>0</v>
      </c>
      <c r="Y1452" s="270"/>
      <c r="Z1452" s="270"/>
      <c r="AB1452" s="272" t="str">
        <f t="shared" si="71"/>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9"/>
        <v/>
      </c>
      <c r="T1453" s="224" t="str">
        <f ca="1">IF(B1453="","",IF(ISERROR(MATCH($J1453,SorP!$B$1:$B$6230,0)),"",INDIRECT("'SorP'!$A$"&amp;MATCH($J1453,SorP!$B$1:$B$6230,0))))</f>
        <v/>
      </c>
      <c r="U1453" s="239"/>
      <c r="V1453" s="269" t="e">
        <f>IF(C1453="",NA(),MATCH($B1453&amp;$C1453,'Smelter Look-up'!$J:$J,0))</f>
        <v>#N/A</v>
      </c>
      <c r="W1453" s="270"/>
      <c r="X1453" s="270">
        <f t="shared" ca="1" si="70"/>
        <v>0</v>
      </c>
      <c r="Y1453" s="270"/>
      <c r="Z1453" s="270"/>
      <c r="AB1453" s="272" t="str">
        <f t="shared" si="71"/>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9"/>
        <v/>
      </c>
      <c r="T1454" s="224" t="str">
        <f ca="1">IF(B1454="","",IF(ISERROR(MATCH($J1454,SorP!$B$1:$B$6230,0)),"",INDIRECT("'SorP'!$A$"&amp;MATCH($J1454,SorP!$B$1:$B$6230,0))))</f>
        <v/>
      </c>
      <c r="U1454" s="239"/>
      <c r="V1454" s="269" t="e">
        <f>IF(C1454="",NA(),MATCH($B1454&amp;$C1454,'Smelter Look-up'!$J:$J,0))</f>
        <v>#N/A</v>
      </c>
      <c r="W1454" s="270"/>
      <c r="X1454" s="270">
        <f t="shared" ca="1" si="70"/>
        <v>0</v>
      </c>
      <c r="Y1454" s="270"/>
      <c r="Z1454" s="270"/>
      <c r="AB1454" s="272" t="str">
        <f t="shared" si="71"/>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9"/>
        <v/>
      </c>
      <c r="T1455" s="224" t="str">
        <f ca="1">IF(B1455="","",IF(ISERROR(MATCH($J1455,SorP!$B$1:$B$6230,0)),"",INDIRECT("'SorP'!$A$"&amp;MATCH($J1455,SorP!$B$1:$B$6230,0))))</f>
        <v/>
      </c>
      <c r="U1455" s="239"/>
      <c r="V1455" s="269" t="e">
        <f>IF(C1455="",NA(),MATCH($B1455&amp;$C1455,'Smelter Look-up'!$J:$J,0))</f>
        <v>#N/A</v>
      </c>
      <c r="W1455" s="270"/>
      <c r="X1455" s="270">
        <f t="shared" ca="1" si="70"/>
        <v>0</v>
      </c>
      <c r="Y1455" s="270"/>
      <c r="Z1455" s="270"/>
      <c r="AB1455" s="272" t="str">
        <f t="shared" si="71"/>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9"/>
        <v/>
      </c>
      <c r="T1456" s="224" t="str">
        <f ca="1">IF(B1456="","",IF(ISERROR(MATCH($J1456,SorP!$B$1:$B$6230,0)),"",INDIRECT("'SorP'!$A$"&amp;MATCH($J1456,SorP!$B$1:$B$6230,0))))</f>
        <v/>
      </c>
      <c r="U1456" s="239"/>
      <c r="V1456" s="269" t="e">
        <f>IF(C1456="",NA(),MATCH($B1456&amp;$C1456,'Smelter Look-up'!$J:$J,0))</f>
        <v>#N/A</v>
      </c>
      <c r="W1456" s="270"/>
      <c r="X1456" s="270">
        <f t="shared" ca="1" si="70"/>
        <v>0</v>
      </c>
      <c r="Y1456" s="270"/>
      <c r="Z1456" s="270"/>
      <c r="AB1456" s="272" t="str">
        <f t="shared" si="71"/>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9"/>
        <v/>
      </c>
      <c r="T1457" s="224" t="str">
        <f ca="1">IF(B1457="","",IF(ISERROR(MATCH($J1457,SorP!$B$1:$B$6230,0)),"",INDIRECT("'SorP'!$A$"&amp;MATCH($J1457,SorP!$B$1:$B$6230,0))))</f>
        <v/>
      </c>
      <c r="U1457" s="239"/>
      <c r="V1457" s="269" t="e">
        <f>IF(C1457="",NA(),MATCH($B1457&amp;$C1457,'Smelter Look-up'!$J:$J,0))</f>
        <v>#N/A</v>
      </c>
      <c r="W1457" s="270"/>
      <c r="X1457" s="270">
        <f t="shared" ca="1" si="70"/>
        <v>0</v>
      </c>
      <c r="Y1457" s="270"/>
      <c r="Z1457" s="270"/>
      <c r="AB1457" s="272" t="str">
        <f t="shared" si="71"/>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9"/>
        <v/>
      </c>
      <c r="T1458" s="224" t="str">
        <f ca="1">IF(B1458="","",IF(ISERROR(MATCH($J1458,SorP!$B$1:$B$6230,0)),"",INDIRECT("'SorP'!$A$"&amp;MATCH($J1458,SorP!$B$1:$B$6230,0))))</f>
        <v/>
      </c>
      <c r="U1458" s="239"/>
      <c r="V1458" s="269" t="e">
        <f>IF(C1458="",NA(),MATCH($B1458&amp;$C1458,'Smelter Look-up'!$J:$J,0))</f>
        <v>#N/A</v>
      </c>
      <c r="W1458" s="270"/>
      <c r="X1458" s="270">
        <f t="shared" ca="1" si="70"/>
        <v>0</v>
      </c>
      <c r="Y1458" s="270"/>
      <c r="Z1458" s="270"/>
      <c r="AB1458" s="272" t="str">
        <f t="shared" si="71"/>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9"/>
        <v/>
      </c>
      <c r="T1459" s="224" t="str">
        <f ca="1">IF(B1459="","",IF(ISERROR(MATCH($J1459,SorP!$B$1:$B$6230,0)),"",INDIRECT("'SorP'!$A$"&amp;MATCH($J1459,SorP!$B$1:$B$6230,0))))</f>
        <v/>
      </c>
      <c r="U1459" s="239"/>
      <c r="V1459" s="269" t="e">
        <f>IF(C1459="",NA(),MATCH($B1459&amp;$C1459,'Smelter Look-up'!$J:$J,0))</f>
        <v>#N/A</v>
      </c>
      <c r="W1459" s="270"/>
      <c r="X1459" s="270">
        <f t="shared" ca="1" si="70"/>
        <v>0</v>
      </c>
      <c r="Y1459" s="270"/>
      <c r="Z1459" s="270"/>
      <c r="AB1459" s="272" t="str">
        <f t="shared" si="71"/>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9"/>
        <v/>
      </c>
      <c r="T1460" s="224" t="str">
        <f ca="1">IF(B1460="","",IF(ISERROR(MATCH($J1460,SorP!$B$1:$B$6230,0)),"",INDIRECT("'SorP'!$A$"&amp;MATCH($J1460,SorP!$B$1:$B$6230,0))))</f>
        <v/>
      </c>
      <c r="U1460" s="239"/>
      <c r="V1460" s="269" t="e">
        <f>IF(C1460="",NA(),MATCH($B1460&amp;$C1460,'Smelter Look-up'!$J:$J,0))</f>
        <v>#N/A</v>
      </c>
      <c r="W1460" s="270"/>
      <c r="X1460" s="270">
        <f t="shared" ca="1" si="70"/>
        <v>0</v>
      </c>
      <c r="Y1460" s="270"/>
      <c r="Z1460" s="270"/>
      <c r="AB1460" s="272" t="str">
        <f t="shared" si="71"/>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69"/>
        <v/>
      </c>
      <c r="T1461" s="224" t="str">
        <f ca="1">IF(B1461="","",IF(ISERROR(MATCH($J1461,SorP!$B$1:$B$6230,0)),"",INDIRECT("'SorP'!$A$"&amp;MATCH($J1461,SorP!$B$1:$B$6230,0))))</f>
        <v/>
      </c>
      <c r="U1461" s="239"/>
      <c r="V1461" s="269" t="e">
        <f>IF(C1461="",NA(),MATCH($B1461&amp;$C1461,'Smelter Look-up'!$J:$J,0))</f>
        <v>#N/A</v>
      </c>
      <c r="W1461" s="270"/>
      <c r="X1461" s="270">
        <f t="shared" ca="1" si="70"/>
        <v>0</v>
      </c>
      <c r="Y1461" s="270"/>
      <c r="Z1461" s="270"/>
      <c r="AB1461" s="272" t="str">
        <f t="shared" si="71"/>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69"/>
        <v/>
      </c>
      <c r="T1462" s="224" t="str">
        <f ca="1">IF(B1462="","",IF(ISERROR(MATCH($J1462,SorP!$B$1:$B$6230,0)),"",INDIRECT("'SorP'!$A$"&amp;MATCH($J1462,SorP!$B$1:$B$6230,0))))</f>
        <v/>
      </c>
      <c r="U1462" s="239"/>
      <c r="V1462" s="269" t="e">
        <f>IF(C1462="",NA(),MATCH($B1462&amp;$C1462,'Smelter Look-up'!$J:$J,0))</f>
        <v>#N/A</v>
      </c>
      <c r="W1462" s="270"/>
      <c r="X1462" s="270">
        <f t="shared" ca="1" si="70"/>
        <v>0</v>
      </c>
      <c r="Y1462" s="270"/>
      <c r="Z1462" s="270"/>
      <c r="AB1462" s="272" t="str">
        <f t="shared" si="71"/>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69"/>
        <v/>
      </c>
      <c r="T1463" s="224" t="str">
        <f ca="1">IF(B1463="","",IF(ISERROR(MATCH($J1463,SorP!$B$1:$B$6230,0)),"",INDIRECT("'SorP'!$A$"&amp;MATCH($J1463,SorP!$B$1:$B$6230,0))))</f>
        <v/>
      </c>
      <c r="U1463" s="239"/>
      <c r="V1463" s="269" t="e">
        <f>IF(C1463="",NA(),MATCH($B1463&amp;$C1463,'Smelter Look-up'!$J:$J,0))</f>
        <v>#N/A</v>
      </c>
      <c r="W1463" s="270"/>
      <c r="X1463" s="270">
        <f t="shared" ca="1" si="70"/>
        <v>0</v>
      </c>
      <c r="Y1463" s="270"/>
      <c r="Z1463" s="270"/>
      <c r="AB1463" s="272" t="str">
        <f t="shared" si="71"/>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69"/>
        <v/>
      </c>
      <c r="T1464" s="224" t="str">
        <f ca="1">IF(B1464="","",IF(ISERROR(MATCH($J1464,SorP!$B$1:$B$6230,0)),"",INDIRECT("'SorP'!$A$"&amp;MATCH($J1464,SorP!$B$1:$B$6230,0))))</f>
        <v/>
      </c>
      <c r="U1464" s="239"/>
      <c r="V1464" s="269" t="e">
        <f>IF(C1464="",NA(),MATCH($B1464&amp;$C1464,'Smelter Look-up'!$J:$J,0))</f>
        <v>#N/A</v>
      </c>
      <c r="W1464" s="270"/>
      <c r="X1464" s="270">
        <f t="shared" ca="1" si="70"/>
        <v>0</v>
      </c>
      <c r="Y1464" s="270"/>
      <c r="Z1464" s="270"/>
      <c r="AB1464" s="272" t="str">
        <f t="shared" si="71"/>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69"/>
        <v/>
      </c>
      <c r="T1465" s="224" t="str">
        <f ca="1">IF(B1465="","",IF(ISERROR(MATCH($J1465,SorP!$B$1:$B$6230,0)),"",INDIRECT("'SorP'!$A$"&amp;MATCH($J1465,SorP!$B$1:$B$6230,0))))</f>
        <v/>
      </c>
      <c r="U1465" s="239"/>
      <c r="V1465" s="269" t="e">
        <f>IF(C1465="",NA(),MATCH($B1465&amp;$C1465,'Smelter Look-up'!$J:$J,0))</f>
        <v>#N/A</v>
      </c>
      <c r="W1465" s="270"/>
      <c r="X1465" s="270">
        <f t="shared" ca="1" si="70"/>
        <v>0</v>
      </c>
      <c r="Y1465" s="270"/>
      <c r="Z1465" s="270"/>
      <c r="AB1465" s="272" t="str">
        <f t="shared" si="71"/>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69"/>
        <v/>
      </c>
      <c r="T1466" s="224" t="str">
        <f ca="1">IF(B1466="","",IF(ISERROR(MATCH($J1466,SorP!$B$1:$B$6230,0)),"",INDIRECT("'SorP'!$A$"&amp;MATCH($J1466,SorP!$B$1:$B$6230,0))))</f>
        <v/>
      </c>
      <c r="U1466" s="239"/>
      <c r="V1466" s="269" t="e">
        <f>IF(C1466="",NA(),MATCH($B1466&amp;$C1466,'Smelter Look-up'!$J:$J,0))</f>
        <v>#N/A</v>
      </c>
      <c r="W1466" s="270"/>
      <c r="X1466" s="270">
        <f t="shared" ca="1" si="70"/>
        <v>0</v>
      </c>
      <c r="Y1466" s="270"/>
      <c r="Z1466" s="270"/>
      <c r="AB1466" s="272" t="str">
        <f t="shared" si="71"/>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2">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3">IF(AND(C1467="Smelter not listed",OR(LEN(D1467)=0,LEN(E1467)=0)),1,0)</f>
        <v>0</v>
      </c>
      <c r="Y1467" s="270"/>
      <c r="Z1467" s="270"/>
      <c r="AB1467" s="272" t="str">
        <f t="shared" ref="AB1467:AB1530" si="74">B1467&amp;C1467</f>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2"/>
        <v/>
      </c>
      <c r="T1516" s="224" t="str">
        <f ca="1">IF(B1516="","",IF(ISERROR(MATCH($J1516,SorP!$B$1:$B$6230,0)),"",INDIRECT("'SorP'!$A$"&amp;MATCH($J1516,SorP!$B$1:$B$6230,0))))</f>
        <v/>
      </c>
      <c r="U1516" s="239"/>
      <c r="V1516" s="269" t="e">
        <f>IF(C1516="",NA(),MATCH($B1516&amp;$C1516,'Smelter Look-up'!$J:$J,0))</f>
        <v>#N/A</v>
      </c>
      <c r="W1516" s="270"/>
      <c r="X1516" s="270">
        <f t="shared" ca="1" si="73"/>
        <v>0</v>
      </c>
      <c r="Y1516" s="270"/>
      <c r="Z1516" s="270"/>
      <c r="AB1516" s="272" t="str">
        <f t="shared" si="74"/>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2"/>
        <v/>
      </c>
      <c r="T1517" s="224" t="str">
        <f ca="1">IF(B1517="","",IF(ISERROR(MATCH($J1517,SorP!$B$1:$B$6230,0)),"",INDIRECT("'SorP'!$A$"&amp;MATCH($J1517,SorP!$B$1:$B$6230,0))))</f>
        <v/>
      </c>
      <c r="U1517" s="239"/>
      <c r="V1517" s="269" t="e">
        <f>IF(C1517="",NA(),MATCH($B1517&amp;$C1517,'Smelter Look-up'!$J:$J,0))</f>
        <v>#N/A</v>
      </c>
      <c r="W1517" s="270"/>
      <c r="X1517" s="270">
        <f t="shared" ca="1" si="73"/>
        <v>0</v>
      </c>
      <c r="Y1517" s="270"/>
      <c r="Z1517" s="270"/>
      <c r="AB1517" s="272" t="str">
        <f t="shared" si="74"/>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2"/>
        <v/>
      </c>
      <c r="T1518" s="224" t="str">
        <f ca="1">IF(B1518="","",IF(ISERROR(MATCH($J1518,SorP!$B$1:$B$6230,0)),"",INDIRECT("'SorP'!$A$"&amp;MATCH($J1518,SorP!$B$1:$B$6230,0))))</f>
        <v/>
      </c>
      <c r="U1518" s="239"/>
      <c r="V1518" s="269" t="e">
        <f>IF(C1518="",NA(),MATCH($B1518&amp;$C1518,'Smelter Look-up'!$J:$J,0))</f>
        <v>#N/A</v>
      </c>
      <c r="W1518" s="270"/>
      <c r="X1518" s="270">
        <f t="shared" ca="1" si="73"/>
        <v>0</v>
      </c>
      <c r="Y1518" s="270"/>
      <c r="Z1518" s="270"/>
      <c r="AB1518" s="272" t="str">
        <f t="shared" si="74"/>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2"/>
        <v/>
      </c>
      <c r="T1519" s="224" t="str">
        <f ca="1">IF(B1519="","",IF(ISERROR(MATCH($J1519,SorP!$B$1:$B$6230,0)),"",INDIRECT("'SorP'!$A$"&amp;MATCH($J1519,SorP!$B$1:$B$6230,0))))</f>
        <v/>
      </c>
      <c r="U1519" s="239"/>
      <c r="V1519" s="269" t="e">
        <f>IF(C1519="",NA(),MATCH($B1519&amp;$C1519,'Smelter Look-up'!$J:$J,0))</f>
        <v>#N/A</v>
      </c>
      <c r="W1519" s="270"/>
      <c r="X1519" s="270">
        <f t="shared" ca="1" si="73"/>
        <v>0</v>
      </c>
      <c r="Y1519" s="270"/>
      <c r="Z1519" s="270"/>
      <c r="AB1519" s="272" t="str">
        <f t="shared" si="74"/>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2"/>
        <v/>
      </c>
      <c r="T1520" s="224" t="str">
        <f ca="1">IF(B1520="","",IF(ISERROR(MATCH($J1520,SorP!$B$1:$B$6230,0)),"",INDIRECT("'SorP'!$A$"&amp;MATCH($J1520,SorP!$B$1:$B$6230,0))))</f>
        <v/>
      </c>
      <c r="U1520" s="239"/>
      <c r="V1520" s="269" t="e">
        <f>IF(C1520="",NA(),MATCH($B1520&amp;$C1520,'Smelter Look-up'!$J:$J,0))</f>
        <v>#N/A</v>
      </c>
      <c r="W1520" s="270"/>
      <c r="X1520" s="270">
        <f t="shared" ca="1" si="73"/>
        <v>0</v>
      </c>
      <c r="Y1520" s="270"/>
      <c r="Z1520" s="270"/>
      <c r="AB1520" s="272" t="str">
        <f t="shared" si="74"/>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2"/>
        <v/>
      </c>
      <c r="T1521" s="224" t="str">
        <f ca="1">IF(B1521="","",IF(ISERROR(MATCH($J1521,SorP!$B$1:$B$6230,0)),"",INDIRECT("'SorP'!$A$"&amp;MATCH($J1521,SorP!$B$1:$B$6230,0))))</f>
        <v/>
      </c>
      <c r="U1521" s="239"/>
      <c r="V1521" s="269" t="e">
        <f>IF(C1521="",NA(),MATCH($B1521&amp;$C1521,'Smelter Look-up'!$J:$J,0))</f>
        <v>#N/A</v>
      </c>
      <c r="W1521" s="270"/>
      <c r="X1521" s="270">
        <f t="shared" ca="1" si="73"/>
        <v>0</v>
      </c>
      <c r="Y1521" s="270"/>
      <c r="Z1521" s="270"/>
      <c r="AB1521" s="272" t="str">
        <f t="shared" si="74"/>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2"/>
        <v/>
      </c>
      <c r="T1522" s="224" t="str">
        <f ca="1">IF(B1522="","",IF(ISERROR(MATCH($J1522,SorP!$B$1:$B$6230,0)),"",INDIRECT("'SorP'!$A$"&amp;MATCH($J1522,SorP!$B$1:$B$6230,0))))</f>
        <v/>
      </c>
      <c r="U1522" s="239"/>
      <c r="V1522" s="269" t="e">
        <f>IF(C1522="",NA(),MATCH($B1522&amp;$C1522,'Smelter Look-up'!$J:$J,0))</f>
        <v>#N/A</v>
      </c>
      <c r="W1522" s="270"/>
      <c r="X1522" s="270">
        <f t="shared" ca="1" si="73"/>
        <v>0</v>
      </c>
      <c r="Y1522" s="270"/>
      <c r="Z1522" s="270"/>
      <c r="AB1522" s="272" t="str">
        <f t="shared" si="74"/>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2"/>
        <v/>
      </c>
      <c r="T1523" s="224" t="str">
        <f ca="1">IF(B1523="","",IF(ISERROR(MATCH($J1523,SorP!$B$1:$B$6230,0)),"",INDIRECT("'SorP'!$A$"&amp;MATCH($J1523,SorP!$B$1:$B$6230,0))))</f>
        <v/>
      </c>
      <c r="U1523" s="239"/>
      <c r="V1523" s="269" t="e">
        <f>IF(C1523="",NA(),MATCH($B1523&amp;$C1523,'Smelter Look-up'!$J:$J,0))</f>
        <v>#N/A</v>
      </c>
      <c r="W1523" s="270"/>
      <c r="X1523" s="270">
        <f t="shared" ca="1" si="73"/>
        <v>0</v>
      </c>
      <c r="Y1523" s="270"/>
      <c r="Z1523" s="270"/>
      <c r="AB1523" s="272" t="str">
        <f t="shared" si="74"/>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2"/>
        <v/>
      </c>
      <c r="T1524" s="224" t="str">
        <f ca="1">IF(B1524="","",IF(ISERROR(MATCH($J1524,SorP!$B$1:$B$6230,0)),"",INDIRECT("'SorP'!$A$"&amp;MATCH($J1524,SorP!$B$1:$B$6230,0))))</f>
        <v/>
      </c>
      <c r="U1524" s="239"/>
      <c r="V1524" s="269" t="e">
        <f>IF(C1524="",NA(),MATCH($B1524&amp;$C1524,'Smelter Look-up'!$J:$J,0))</f>
        <v>#N/A</v>
      </c>
      <c r="W1524" s="270"/>
      <c r="X1524" s="270">
        <f t="shared" ca="1" si="73"/>
        <v>0</v>
      </c>
      <c r="Y1524" s="270"/>
      <c r="Z1524" s="270"/>
      <c r="AB1524" s="272" t="str">
        <f t="shared" si="74"/>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2"/>
        <v/>
      </c>
      <c r="T1525" s="224" t="str">
        <f ca="1">IF(B1525="","",IF(ISERROR(MATCH($J1525,SorP!$B$1:$B$6230,0)),"",INDIRECT("'SorP'!$A$"&amp;MATCH($J1525,SorP!$B$1:$B$6230,0))))</f>
        <v/>
      </c>
      <c r="U1525" s="239"/>
      <c r="V1525" s="269" t="e">
        <f>IF(C1525="",NA(),MATCH($B1525&amp;$C1525,'Smelter Look-up'!$J:$J,0))</f>
        <v>#N/A</v>
      </c>
      <c r="W1525" s="270"/>
      <c r="X1525" s="270">
        <f t="shared" ca="1" si="73"/>
        <v>0</v>
      </c>
      <c r="Y1525" s="270"/>
      <c r="Z1525" s="270"/>
      <c r="AB1525" s="272" t="str">
        <f t="shared" si="74"/>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2"/>
        <v/>
      </c>
      <c r="T1526" s="224" t="str">
        <f ca="1">IF(B1526="","",IF(ISERROR(MATCH($J1526,SorP!$B$1:$B$6230,0)),"",INDIRECT("'SorP'!$A$"&amp;MATCH($J1526,SorP!$B$1:$B$6230,0))))</f>
        <v/>
      </c>
      <c r="U1526" s="239"/>
      <c r="V1526" s="269" t="e">
        <f>IF(C1526="",NA(),MATCH($B1526&amp;$C1526,'Smelter Look-up'!$J:$J,0))</f>
        <v>#N/A</v>
      </c>
      <c r="W1526" s="270"/>
      <c r="X1526" s="270">
        <f t="shared" ca="1" si="73"/>
        <v>0</v>
      </c>
      <c r="Y1526" s="270"/>
      <c r="Z1526" s="270"/>
      <c r="AB1526" s="272" t="str">
        <f t="shared" si="74"/>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2"/>
        <v/>
      </c>
      <c r="T1527" s="224" t="str">
        <f ca="1">IF(B1527="","",IF(ISERROR(MATCH($J1527,SorP!$B$1:$B$6230,0)),"",INDIRECT("'SorP'!$A$"&amp;MATCH($J1527,SorP!$B$1:$B$6230,0))))</f>
        <v/>
      </c>
      <c r="U1527" s="239"/>
      <c r="V1527" s="269" t="e">
        <f>IF(C1527="",NA(),MATCH($B1527&amp;$C1527,'Smelter Look-up'!$J:$J,0))</f>
        <v>#N/A</v>
      </c>
      <c r="W1527" s="270"/>
      <c r="X1527" s="270">
        <f t="shared" ca="1" si="73"/>
        <v>0</v>
      </c>
      <c r="Y1527" s="270"/>
      <c r="Z1527" s="270"/>
      <c r="AB1527" s="272" t="str">
        <f t="shared" si="74"/>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2"/>
        <v/>
      </c>
      <c r="T1528" s="224" t="str">
        <f ca="1">IF(B1528="","",IF(ISERROR(MATCH($J1528,SorP!$B$1:$B$6230,0)),"",INDIRECT("'SorP'!$A$"&amp;MATCH($J1528,SorP!$B$1:$B$6230,0))))</f>
        <v/>
      </c>
      <c r="U1528" s="239"/>
      <c r="V1528" s="269" t="e">
        <f>IF(C1528="",NA(),MATCH($B1528&amp;$C1528,'Smelter Look-up'!$J:$J,0))</f>
        <v>#N/A</v>
      </c>
      <c r="W1528" s="270"/>
      <c r="X1528" s="270">
        <f t="shared" ca="1" si="73"/>
        <v>0</v>
      </c>
      <c r="Y1528" s="270"/>
      <c r="Z1528" s="270"/>
      <c r="AB1528" s="272" t="str">
        <f t="shared" si="74"/>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2"/>
        <v/>
      </c>
      <c r="T1529" s="224" t="str">
        <f ca="1">IF(B1529="","",IF(ISERROR(MATCH($J1529,SorP!$B$1:$B$6230,0)),"",INDIRECT("'SorP'!$A$"&amp;MATCH($J1529,SorP!$B$1:$B$6230,0))))</f>
        <v/>
      </c>
      <c r="U1529" s="239"/>
      <c r="V1529" s="269" t="e">
        <f>IF(C1529="",NA(),MATCH($B1529&amp;$C1529,'Smelter Look-up'!$J:$J,0))</f>
        <v>#N/A</v>
      </c>
      <c r="W1529" s="270"/>
      <c r="X1529" s="270">
        <f t="shared" ca="1" si="73"/>
        <v>0</v>
      </c>
      <c r="Y1529" s="270"/>
      <c r="Z1529" s="270"/>
      <c r="AB1529" s="272" t="str">
        <f t="shared" si="74"/>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2"/>
        <v/>
      </c>
      <c r="T1530" s="224" t="str">
        <f ca="1">IF(B1530="","",IF(ISERROR(MATCH($J1530,SorP!$B$1:$B$6230,0)),"",INDIRECT("'SorP'!$A$"&amp;MATCH($J1530,SorP!$B$1:$B$6230,0))))</f>
        <v/>
      </c>
      <c r="U1530" s="239"/>
      <c r="V1530" s="269" t="e">
        <f>IF(C1530="",NA(),MATCH($B1530&amp;$C1530,'Smelter Look-up'!$J:$J,0))</f>
        <v>#N/A</v>
      </c>
      <c r="W1530" s="270"/>
      <c r="X1530" s="270">
        <f t="shared" ca="1" si="73"/>
        <v>0</v>
      </c>
      <c r="Y1530" s="270"/>
      <c r="Z1530" s="270"/>
      <c r="AB1530" s="272" t="str">
        <f t="shared" si="74"/>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5">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6">IF(AND(C1531="Smelter not listed",OR(LEN(D1531)=0,LEN(E1531)=0)),1,0)</f>
        <v>0</v>
      </c>
      <c r="Y1531" s="270"/>
      <c r="Z1531" s="270"/>
      <c r="AB1531" s="272" t="str">
        <f t="shared" ref="AB1531:AB1594" si="77">B1531&amp;C1531</f>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5"/>
        <v/>
      </c>
      <c r="T1580" s="224" t="str">
        <f ca="1">IF(B1580="","",IF(ISERROR(MATCH($J1580,SorP!$B$1:$B$6230,0)),"",INDIRECT("'SorP'!$A$"&amp;MATCH($J1580,SorP!$B$1:$B$6230,0))))</f>
        <v/>
      </c>
      <c r="U1580" s="239"/>
      <c r="V1580" s="269" t="e">
        <f>IF(C1580="",NA(),MATCH($B1580&amp;$C1580,'Smelter Look-up'!$J:$J,0))</f>
        <v>#N/A</v>
      </c>
      <c r="W1580" s="270"/>
      <c r="X1580" s="270">
        <f t="shared" ca="1" si="76"/>
        <v>0</v>
      </c>
      <c r="Y1580" s="270"/>
      <c r="Z1580" s="270"/>
      <c r="AB1580" s="272" t="str">
        <f t="shared" si="77"/>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5"/>
        <v/>
      </c>
      <c r="T1581" s="224" t="str">
        <f ca="1">IF(B1581="","",IF(ISERROR(MATCH($J1581,SorP!$B$1:$B$6230,0)),"",INDIRECT("'SorP'!$A$"&amp;MATCH($J1581,SorP!$B$1:$B$6230,0))))</f>
        <v/>
      </c>
      <c r="U1581" s="239"/>
      <c r="V1581" s="269" t="e">
        <f>IF(C1581="",NA(),MATCH($B1581&amp;$C1581,'Smelter Look-up'!$J:$J,0))</f>
        <v>#N/A</v>
      </c>
      <c r="W1581" s="270"/>
      <c r="X1581" s="270">
        <f t="shared" ca="1" si="76"/>
        <v>0</v>
      </c>
      <c r="Y1581" s="270"/>
      <c r="Z1581" s="270"/>
      <c r="AB1581" s="272" t="str">
        <f t="shared" si="77"/>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5"/>
        <v/>
      </c>
      <c r="T1582" s="224" t="str">
        <f ca="1">IF(B1582="","",IF(ISERROR(MATCH($J1582,SorP!$B$1:$B$6230,0)),"",INDIRECT("'SorP'!$A$"&amp;MATCH($J1582,SorP!$B$1:$B$6230,0))))</f>
        <v/>
      </c>
      <c r="U1582" s="239"/>
      <c r="V1582" s="269" t="e">
        <f>IF(C1582="",NA(),MATCH($B1582&amp;$C1582,'Smelter Look-up'!$J:$J,0))</f>
        <v>#N/A</v>
      </c>
      <c r="W1582" s="270"/>
      <c r="X1582" s="270">
        <f t="shared" ca="1" si="76"/>
        <v>0</v>
      </c>
      <c r="Y1582" s="270"/>
      <c r="Z1582" s="270"/>
      <c r="AB1582" s="272" t="str">
        <f t="shared" si="77"/>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5"/>
        <v/>
      </c>
      <c r="T1583" s="224" t="str">
        <f ca="1">IF(B1583="","",IF(ISERROR(MATCH($J1583,SorP!$B$1:$B$6230,0)),"",INDIRECT("'SorP'!$A$"&amp;MATCH($J1583,SorP!$B$1:$B$6230,0))))</f>
        <v/>
      </c>
      <c r="U1583" s="239"/>
      <c r="V1583" s="269" t="e">
        <f>IF(C1583="",NA(),MATCH($B1583&amp;$C1583,'Smelter Look-up'!$J:$J,0))</f>
        <v>#N/A</v>
      </c>
      <c r="W1583" s="270"/>
      <c r="X1583" s="270">
        <f t="shared" ca="1" si="76"/>
        <v>0</v>
      </c>
      <c r="Y1583" s="270"/>
      <c r="Z1583" s="270"/>
      <c r="AB1583" s="272" t="str">
        <f t="shared" si="77"/>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5"/>
        <v/>
      </c>
      <c r="T1584" s="224" t="str">
        <f ca="1">IF(B1584="","",IF(ISERROR(MATCH($J1584,SorP!$B$1:$B$6230,0)),"",INDIRECT("'SorP'!$A$"&amp;MATCH($J1584,SorP!$B$1:$B$6230,0))))</f>
        <v/>
      </c>
      <c r="U1584" s="239"/>
      <c r="V1584" s="269" t="e">
        <f>IF(C1584="",NA(),MATCH($B1584&amp;$C1584,'Smelter Look-up'!$J:$J,0))</f>
        <v>#N/A</v>
      </c>
      <c r="W1584" s="270"/>
      <c r="X1584" s="270">
        <f t="shared" ca="1" si="76"/>
        <v>0</v>
      </c>
      <c r="Y1584" s="270"/>
      <c r="Z1584" s="270"/>
      <c r="AB1584" s="272" t="str">
        <f t="shared" si="77"/>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5"/>
        <v/>
      </c>
      <c r="T1585" s="224" t="str">
        <f ca="1">IF(B1585="","",IF(ISERROR(MATCH($J1585,SorP!$B$1:$B$6230,0)),"",INDIRECT("'SorP'!$A$"&amp;MATCH($J1585,SorP!$B$1:$B$6230,0))))</f>
        <v/>
      </c>
      <c r="U1585" s="239"/>
      <c r="V1585" s="269" t="e">
        <f>IF(C1585="",NA(),MATCH($B1585&amp;$C1585,'Smelter Look-up'!$J:$J,0))</f>
        <v>#N/A</v>
      </c>
      <c r="W1585" s="270"/>
      <c r="X1585" s="270">
        <f t="shared" ca="1" si="76"/>
        <v>0</v>
      </c>
      <c r="Y1585" s="270"/>
      <c r="Z1585" s="270"/>
      <c r="AB1585" s="272" t="str">
        <f t="shared" si="77"/>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5"/>
        <v/>
      </c>
      <c r="T1586" s="224" t="str">
        <f ca="1">IF(B1586="","",IF(ISERROR(MATCH($J1586,SorP!$B$1:$B$6230,0)),"",INDIRECT("'SorP'!$A$"&amp;MATCH($J1586,SorP!$B$1:$B$6230,0))))</f>
        <v/>
      </c>
      <c r="U1586" s="239"/>
      <c r="V1586" s="269" t="e">
        <f>IF(C1586="",NA(),MATCH($B1586&amp;$C1586,'Smelter Look-up'!$J:$J,0))</f>
        <v>#N/A</v>
      </c>
      <c r="W1586" s="270"/>
      <c r="X1586" s="270">
        <f t="shared" ca="1" si="76"/>
        <v>0</v>
      </c>
      <c r="Y1586" s="270"/>
      <c r="Z1586" s="270"/>
      <c r="AB1586" s="272" t="str">
        <f t="shared" si="77"/>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5"/>
        <v/>
      </c>
      <c r="T1587" s="224" t="str">
        <f ca="1">IF(B1587="","",IF(ISERROR(MATCH($J1587,SorP!$B$1:$B$6230,0)),"",INDIRECT("'SorP'!$A$"&amp;MATCH($J1587,SorP!$B$1:$B$6230,0))))</f>
        <v/>
      </c>
      <c r="U1587" s="239"/>
      <c r="V1587" s="269" t="e">
        <f>IF(C1587="",NA(),MATCH($B1587&amp;$C1587,'Smelter Look-up'!$J:$J,0))</f>
        <v>#N/A</v>
      </c>
      <c r="W1587" s="270"/>
      <c r="X1587" s="270">
        <f t="shared" ca="1" si="76"/>
        <v>0</v>
      </c>
      <c r="Y1587" s="270"/>
      <c r="Z1587" s="270"/>
      <c r="AB1587" s="272" t="str">
        <f t="shared" si="77"/>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5"/>
        <v/>
      </c>
      <c r="T1588" s="224" t="str">
        <f ca="1">IF(B1588="","",IF(ISERROR(MATCH($J1588,SorP!$B$1:$B$6230,0)),"",INDIRECT("'SorP'!$A$"&amp;MATCH($J1588,SorP!$B$1:$B$6230,0))))</f>
        <v/>
      </c>
      <c r="U1588" s="239"/>
      <c r="V1588" s="269" t="e">
        <f>IF(C1588="",NA(),MATCH($B1588&amp;$C1588,'Smelter Look-up'!$J:$J,0))</f>
        <v>#N/A</v>
      </c>
      <c r="W1588" s="270"/>
      <c r="X1588" s="270">
        <f t="shared" ca="1" si="76"/>
        <v>0</v>
      </c>
      <c r="Y1588" s="270"/>
      <c r="Z1588" s="270"/>
      <c r="AB1588" s="272" t="str">
        <f t="shared" si="77"/>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5"/>
        <v/>
      </c>
      <c r="T1589" s="224" t="str">
        <f ca="1">IF(B1589="","",IF(ISERROR(MATCH($J1589,SorP!$B$1:$B$6230,0)),"",INDIRECT("'SorP'!$A$"&amp;MATCH($J1589,SorP!$B$1:$B$6230,0))))</f>
        <v/>
      </c>
      <c r="U1589" s="239"/>
      <c r="V1589" s="269" t="e">
        <f>IF(C1589="",NA(),MATCH($B1589&amp;$C1589,'Smelter Look-up'!$J:$J,0))</f>
        <v>#N/A</v>
      </c>
      <c r="W1589" s="270"/>
      <c r="X1589" s="270">
        <f t="shared" ca="1" si="76"/>
        <v>0</v>
      </c>
      <c r="Y1589" s="270"/>
      <c r="Z1589" s="270"/>
      <c r="AB1589" s="272" t="str">
        <f t="shared" si="77"/>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5"/>
        <v/>
      </c>
      <c r="T1590" s="224" t="str">
        <f ca="1">IF(B1590="","",IF(ISERROR(MATCH($J1590,SorP!$B$1:$B$6230,0)),"",INDIRECT("'SorP'!$A$"&amp;MATCH($J1590,SorP!$B$1:$B$6230,0))))</f>
        <v/>
      </c>
      <c r="U1590" s="239"/>
      <c r="V1590" s="269" t="e">
        <f>IF(C1590="",NA(),MATCH($B1590&amp;$C1590,'Smelter Look-up'!$J:$J,0))</f>
        <v>#N/A</v>
      </c>
      <c r="W1590" s="270"/>
      <c r="X1590" s="270">
        <f t="shared" ca="1" si="76"/>
        <v>0</v>
      </c>
      <c r="Y1590" s="270"/>
      <c r="Z1590" s="270"/>
      <c r="AB1590" s="272" t="str">
        <f t="shared" si="77"/>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5"/>
        <v/>
      </c>
      <c r="T1591" s="224" t="str">
        <f ca="1">IF(B1591="","",IF(ISERROR(MATCH($J1591,SorP!$B$1:$B$6230,0)),"",INDIRECT("'SorP'!$A$"&amp;MATCH($J1591,SorP!$B$1:$B$6230,0))))</f>
        <v/>
      </c>
      <c r="U1591" s="239"/>
      <c r="V1591" s="269" t="e">
        <f>IF(C1591="",NA(),MATCH($B1591&amp;$C1591,'Smelter Look-up'!$J:$J,0))</f>
        <v>#N/A</v>
      </c>
      <c r="W1591" s="270"/>
      <c r="X1591" s="270">
        <f t="shared" ca="1" si="76"/>
        <v>0</v>
      </c>
      <c r="Y1591" s="270"/>
      <c r="Z1591" s="270"/>
      <c r="AB1591" s="272" t="str">
        <f t="shared" si="77"/>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5"/>
        <v/>
      </c>
      <c r="T1592" s="224" t="str">
        <f ca="1">IF(B1592="","",IF(ISERROR(MATCH($J1592,SorP!$B$1:$B$6230,0)),"",INDIRECT("'SorP'!$A$"&amp;MATCH($J1592,SorP!$B$1:$B$6230,0))))</f>
        <v/>
      </c>
      <c r="U1592" s="239"/>
      <c r="V1592" s="269" t="e">
        <f>IF(C1592="",NA(),MATCH($B1592&amp;$C1592,'Smelter Look-up'!$J:$J,0))</f>
        <v>#N/A</v>
      </c>
      <c r="W1592" s="270"/>
      <c r="X1592" s="270">
        <f t="shared" ca="1" si="76"/>
        <v>0</v>
      </c>
      <c r="Y1592" s="270"/>
      <c r="Z1592" s="270"/>
      <c r="AB1592" s="272" t="str">
        <f t="shared" si="77"/>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5"/>
        <v/>
      </c>
      <c r="T1593" s="224" t="str">
        <f ca="1">IF(B1593="","",IF(ISERROR(MATCH($J1593,SorP!$B$1:$B$6230,0)),"",INDIRECT("'SorP'!$A$"&amp;MATCH($J1593,SorP!$B$1:$B$6230,0))))</f>
        <v/>
      </c>
      <c r="U1593" s="239"/>
      <c r="V1593" s="269" t="e">
        <f>IF(C1593="",NA(),MATCH($B1593&amp;$C1593,'Smelter Look-up'!$J:$J,0))</f>
        <v>#N/A</v>
      </c>
      <c r="W1593" s="270"/>
      <c r="X1593" s="270">
        <f t="shared" ca="1" si="76"/>
        <v>0</v>
      </c>
      <c r="Y1593" s="270"/>
      <c r="Z1593" s="270"/>
      <c r="AB1593" s="272" t="str">
        <f t="shared" si="77"/>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5"/>
        <v/>
      </c>
      <c r="T1594" s="224" t="str">
        <f ca="1">IF(B1594="","",IF(ISERROR(MATCH($J1594,SorP!$B$1:$B$6230,0)),"",INDIRECT("'SorP'!$A$"&amp;MATCH($J1594,SorP!$B$1:$B$6230,0))))</f>
        <v/>
      </c>
      <c r="U1594" s="239"/>
      <c r="V1594" s="269" t="e">
        <f>IF(C1594="",NA(),MATCH($B1594&amp;$C1594,'Smelter Look-up'!$J:$J,0))</f>
        <v>#N/A</v>
      </c>
      <c r="W1594" s="270"/>
      <c r="X1594" s="270">
        <f t="shared" ca="1" si="76"/>
        <v>0</v>
      </c>
      <c r="Y1594" s="270"/>
      <c r="Z1594" s="270"/>
      <c r="AB1594" s="272" t="str">
        <f t="shared" si="77"/>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78">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79">IF(AND(C1595="Smelter not listed",OR(LEN(D1595)=0,LEN(E1595)=0)),1,0)</f>
        <v>0</v>
      </c>
      <c r="Y1595" s="270"/>
      <c r="Z1595" s="270"/>
      <c r="AB1595" s="272" t="str">
        <f t="shared" ref="AB1595:AB1658" si="80">B1595&amp;C1595</f>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8"/>
        <v/>
      </c>
      <c r="T1644" s="224" t="str">
        <f ca="1">IF(B1644="","",IF(ISERROR(MATCH($J1644,SorP!$B$1:$B$6230,0)),"",INDIRECT("'SorP'!$A$"&amp;MATCH($J1644,SorP!$B$1:$B$6230,0))))</f>
        <v/>
      </c>
      <c r="U1644" s="239"/>
      <c r="V1644" s="269" t="e">
        <f>IF(C1644="",NA(),MATCH($B1644&amp;$C1644,'Smelter Look-up'!$J:$J,0))</f>
        <v>#N/A</v>
      </c>
      <c r="W1644" s="270"/>
      <c r="X1644" s="270">
        <f t="shared" ca="1" si="79"/>
        <v>0</v>
      </c>
      <c r="Y1644" s="270"/>
      <c r="Z1644" s="270"/>
      <c r="AB1644" s="272" t="str">
        <f t="shared" si="80"/>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8"/>
        <v/>
      </c>
      <c r="T1645" s="224" t="str">
        <f ca="1">IF(B1645="","",IF(ISERROR(MATCH($J1645,SorP!$B$1:$B$6230,0)),"",INDIRECT("'SorP'!$A$"&amp;MATCH($J1645,SorP!$B$1:$B$6230,0))))</f>
        <v/>
      </c>
      <c r="U1645" s="239"/>
      <c r="V1645" s="269" t="e">
        <f>IF(C1645="",NA(),MATCH($B1645&amp;$C1645,'Smelter Look-up'!$J:$J,0))</f>
        <v>#N/A</v>
      </c>
      <c r="W1645" s="270"/>
      <c r="X1645" s="270">
        <f t="shared" ca="1" si="79"/>
        <v>0</v>
      </c>
      <c r="Y1645" s="270"/>
      <c r="Z1645" s="270"/>
      <c r="AB1645" s="272" t="str">
        <f t="shared" si="80"/>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8"/>
        <v/>
      </c>
      <c r="T1646" s="224" t="str">
        <f ca="1">IF(B1646="","",IF(ISERROR(MATCH($J1646,SorP!$B$1:$B$6230,0)),"",INDIRECT("'SorP'!$A$"&amp;MATCH($J1646,SorP!$B$1:$B$6230,0))))</f>
        <v/>
      </c>
      <c r="U1646" s="239"/>
      <c r="V1646" s="269" t="e">
        <f>IF(C1646="",NA(),MATCH($B1646&amp;$C1646,'Smelter Look-up'!$J:$J,0))</f>
        <v>#N/A</v>
      </c>
      <c r="W1646" s="270"/>
      <c r="X1646" s="270">
        <f t="shared" ca="1" si="79"/>
        <v>0</v>
      </c>
      <c r="Y1646" s="270"/>
      <c r="Z1646" s="270"/>
      <c r="AB1646" s="272" t="str">
        <f t="shared" si="80"/>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8"/>
        <v/>
      </c>
      <c r="T1647" s="224" t="str">
        <f ca="1">IF(B1647="","",IF(ISERROR(MATCH($J1647,SorP!$B$1:$B$6230,0)),"",INDIRECT("'SorP'!$A$"&amp;MATCH($J1647,SorP!$B$1:$B$6230,0))))</f>
        <v/>
      </c>
      <c r="U1647" s="239"/>
      <c r="V1647" s="269" t="e">
        <f>IF(C1647="",NA(),MATCH($B1647&amp;$C1647,'Smelter Look-up'!$J:$J,0))</f>
        <v>#N/A</v>
      </c>
      <c r="W1647" s="270"/>
      <c r="X1647" s="270">
        <f t="shared" ca="1" si="79"/>
        <v>0</v>
      </c>
      <c r="Y1647" s="270"/>
      <c r="Z1647" s="270"/>
      <c r="AB1647" s="272" t="str">
        <f t="shared" si="80"/>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8"/>
        <v/>
      </c>
      <c r="T1648" s="224" t="str">
        <f ca="1">IF(B1648="","",IF(ISERROR(MATCH($J1648,SorP!$B$1:$B$6230,0)),"",INDIRECT("'SorP'!$A$"&amp;MATCH($J1648,SorP!$B$1:$B$6230,0))))</f>
        <v/>
      </c>
      <c r="U1648" s="239"/>
      <c r="V1648" s="269" t="e">
        <f>IF(C1648="",NA(),MATCH($B1648&amp;$C1648,'Smelter Look-up'!$J:$J,0))</f>
        <v>#N/A</v>
      </c>
      <c r="W1648" s="270"/>
      <c r="X1648" s="270">
        <f t="shared" ca="1" si="79"/>
        <v>0</v>
      </c>
      <c r="Y1648" s="270"/>
      <c r="Z1648" s="270"/>
      <c r="AB1648" s="272" t="str">
        <f t="shared" si="80"/>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8"/>
        <v/>
      </c>
      <c r="T1649" s="224" t="str">
        <f ca="1">IF(B1649="","",IF(ISERROR(MATCH($J1649,SorP!$B$1:$B$6230,0)),"",INDIRECT("'SorP'!$A$"&amp;MATCH($J1649,SorP!$B$1:$B$6230,0))))</f>
        <v/>
      </c>
      <c r="U1649" s="239"/>
      <c r="V1649" s="269" t="e">
        <f>IF(C1649="",NA(),MATCH($B1649&amp;$C1649,'Smelter Look-up'!$J:$J,0))</f>
        <v>#N/A</v>
      </c>
      <c r="W1649" s="270"/>
      <c r="X1649" s="270">
        <f t="shared" ca="1" si="79"/>
        <v>0</v>
      </c>
      <c r="Y1649" s="270"/>
      <c r="Z1649" s="270"/>
      <c r="AB1649" s="272" t="str">
        <f t="shared" si="80"/>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8"/>
        <v/>
      </c>
      <c r="T1650" s="224" t="str">
        <f ca="1">IF(B1650="","",IF(ISERROR(MATCH($J1650,SorP!$B$1:$B$6230,0)),"",INDIRECT("'SorP'!$A$"&amp;MATCH($J1650,SorP!$B$1:$B$6230,0))))</f>
        <v/>
      </c>
      <c r="U1650" s="239"/>
      <c r="V1650" s="269" t="e">
        <f>IF(C1650="",NA(),MATCH($B1650&amp;$C1650,'Smelter Look-up'!$J:$J,0))</f>
        <v>#N/A</v>
      </c>
      <c r="W1650" s="270"/>
      <c r="X1650" s="270">
        <f t="shared" ca="1" si="79"/>
        <v>0</v>
      </c>
      <c r="Y1650" s="270"/>
      <c r="Z1650" s="270"/>
      <c r="AB1650" s="272" t="str">
        <f t="shared" si="80"/>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8"/>
        <v/>
      </c>
      <c r="T1651" s="224" t="str">
        <f ca="1">IF(B1651="","",IF(ISERROR(MATCH($J1651,SorP!$B$1:$B$6230,0)),"",INDIRECT("'SorP'!$A$"&amp;MATCH($J1651,SorP!$B$1:$B$6230,0))))</f>
        <v/>
      </c>
      <c r="U1651" s="239"/>
      <c r="V1651" s="269" t="e">
        <f>IF(C1651="",NA(),MATCH($B1651&amp;$C1651,'Smelter Look-up'!$J:$J,0))</f>
        <v>#N/A</v>
      </c>
      <c r="W1651" s="270"/>
      <c r="X1651" s="270">
        <f t="shared" ca="1" si="79"/>
        <v>0</v>
      </c>
      <c r="Y1651" s="270"/>
      <c r="Z1651" s="270"/>
      <c r="AB1651" s="272" t="str">
        <f t="shared" si="80"/>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8"/>
        <v/>
      </c>
      <c r="T1652" s="224" t="str">
        <f ca="1">IF(B1652="","",IF(ISERROR(MATCH($J1652,SorP!$B$1:$B$6230,0)),"",INDIRECT("'SorP'!$A$"&amp;MATCH($J1652,SorP!$B$1:$B$6230,0))))</f>
        <v/>
      </c>
      <c r="U1652" s="239"/>
      <c r="V1652" s="269" t="e">
        <f>IF(C1652="",NA(),MATCH($B1652&amp;$C1652,'Smelter Look-up'!$J:$J,0))</f>
        <v>#N/A</v>
      </c>
      <c r="W1652" s="270"/>
      <c r="X1652" s="270">
        <f t="shared" ca="1" si="79"/>
        <v>0</v>
      </c>
      <c r="Y1652" s="270"/>
      <c r="Z1652" s="270"/>
      <c r="AB1652" s="272" t="str">
        <f t="shared" si="80"/>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78"/>
        <v/>
      </c>
      <c r="T1653" s="224" t="str">
        <f ca="1">IF(B1653="","",IF(ISERROR(MATCH($J1653,SorP!$B$1:$B$6230,0)),"",INDIRECT("'SorP'!$A$"&amp;MATCH($J1653,SorP!$B$1:$B$6230,0))))</f>
        <v/>
      </c>
      <c r="U1653" s="239"/>
      <c r="V1653" s="269" t="e">
        <f>IF(C1653="",NA(),MATCH($B1653&amp;$C1653,'Smelter Look-up'!$J:$J,0))</f>
        <v>#N/A</v>
      </c>
      <c r="W1653" s="270"/>
      <c r="X1653" s="270">
        <f t="shared" ca="1" si="79"/>
        <v>0</v>
      </c>
      <c r="Y1653" s="270"/>
      <c r="Z1653" s="270"/>
      <c r="AB1653" s="272" t="str">
        <f t="shared" si="80"/>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78"/>
        <v/>
      </c>
      <c r="T1654" s="224" t="str">
        <f ca="1">IF(B1654="","",IF(ISERROR(MATCH($J1654,SorP!$B$1:$B$6230,0)),"",INDIRECT("'SorP'!$A$"&amp;MATCH($J1654,SorP!$B$1:$B$6230,0))))</f>
        <v/>
      </c>
      <c r="U1654" s="239"/>
      <c r="V1654" s="269" t="e">
        <f>IF(C1654="",NA(),MATCH($B1654&amp;$C1654,'Smelter Look-up'!$J:$J,0))</f>
        <v>#N/A</v>
      </c>
      <c r="W1654" s="270"/>
      <c r="X1654" s="270">
        <f t="shared" ca="1" si="79"/>
        <v>0</v>
      </c>
      <c r="Y1654" s="270"/>
      <c r="Z1654" s="270"/>
      <c r="AB1654" s="272" t="str">
        <f t="shared" si="80"/>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78"/>
        <v/>
      </c>
      <c r="T1655" s="224" t="str">
        <f ca="1">IF(B1655="","",IF(ISERROR(MATCH($J1655,SorP!$B$1:$B$6230,0)),"",INDIRECT("'SorP'!$A$"&amp;MATCH($J1655,SorP!$B$1:$B$6230,0))))</f>
        <v/>
      </c>
      <c r="U1655" s="239"/>
      <c r="V1655" s="269" t="e">
        <f>IF(C1655="",NA(),MATCH($B1655&amp;$C1655,'Smelter Look-up'!$J:$J,0))</f>
        <v>#N/A</v>
      </c>
      <c r="W1655" s="270"/>
      <c r="X1655" s="270">
        <f t="shared" ca="1" si="79"/>
        <v>0</v>
      </c>
      <c r="Y1655" s="270"/>
      <c r="Z1655" s="270"/>
      <c r="AB1655" s="272" t="str">
        <f t="shared" si="80"/>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78"/>
        <v/>
      </c>
      <c r="T1656" s="224" t="str">
        <f ca="1">IF(B1656="","",IF(ISERROR(MATCH($J1656,SorP!$B$1:$B$6230,0)),"",INDIRECT("'SorP'!$A$"&amp;MATCH($J1656,SorP!$B$1:$B$6230,0))))</f>
        <v/>
      </c>
      <c r="U1656" s="239"/>
      <c r="V1656" s="269" t="e">
        <f>IF(C1656="",NA(),MATCH($B1656&amp;$C1656,'Smelter Look-up'!$J:$J,0))</f>
        <v>#N/A</v>
      </c>
      <c r="W1656" s="270"/>
      <c r="X1656" s="270">
        <f t="shared" ca="1" si="79"/>
        <v>0</v>
      </c>
      <c r="Y1656" s="270"/>
      <c r="Z1656" s="270"/>
      <c r="AB1656" s="272" t="str">
        <f t="shared" si="80"/>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78"/>
        <v/>
      </c>
      <c r="T1657" s="224" t="str">
        <f ca="1">IF(B1657="","",IF(ISERROR(MATCH($J1657,SorP!$B$1:$B$6230,0)),"",INDIRECT("'SorP'!$A$"&amp;MATCH($J1657,SorP!$B$1:$B$6230,0))))</f>
        <v/>
      </c>
      <c r="U1657" s="239"/>
      <c r="V1657" s="269" t="e">
        <f>IF(C1657="",NA(),MATCH($B1657&amp;$C1657,'Smelter Look-up'!$J:$J,0))</f>
        <v>#N/A</v>
      </c>
      <c r="W1657" s="270"/>
      <c r="X1657" s="270">
        <f t="shared" ca="1" si="79"/>
        <v>0</v>
      </c>
      <c r="Y1657" s="270"/>
      <c r="Z1657" s="270"/>
      <c r="AB1657" s="272" t="str">
        <f t="shared" si="80"/>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78"/>
        <v/>
      </c>
      <c r="T1658" s="224" t="str">
        <f ca="1">IF(B1658="","",IF(ISERROR(MATCH($J1658,SorP!$B$1:$B$6230,0)),"",INDIRECT("'SorP'!$A$"&amp;MATCH($J1658,SorP!$B$1:$B$6230,0))))</f>
        <v/>
      </c>
      <c r="U1658" s="239"/>
      <c r="V1658" s="269" t="e">
        <f>IF(C1658="",NA(),MATCH($B1658&amp;$C1658,'Smelter Look-up'!$J:$J,0))</f>
        <v>#N/A</v>
      </c>
      <c r="W1658" s="270"/>
      <c r="X1658" s="270">
        <f t="shared" ca="1" si="79"/>
        <v>0</v>
      </c>
      <c r="Y1658" s="270"/>
      <c r="Z1658" s="270"/>
      <c r="AB1658" s="272" t="str">
        <f t="shared" si="80"/>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1">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2">IF(AND(C1659="Smelter not listed",OR(LEN(D1659)=0,LEN(E1659)=0)),1,0)</f>
        <v>0</v>
      </c>
      <c r="Y1659" s="270"/>
      <c r="Z1659" s="270"/>
      <c r="AB1659" s="272" t="str">
        <f t="shared" ref="AB1659:AB1722" si="83">B1659&amp;C1659</f>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1"/>
        <v/>
      </c>
      <c r="T1708" s="224" t="str">
        <f ca="1">IF(B1708="","",IF(ISERROR(MATCH($J1708,SorP!$B$1:$B$6230,0)),"",INDIRECT("'SorP'!$A$"&amp;MATCH($J1708,SorP!$B$1:$B$6230,0))))</f>
        <v/>
      </c>
      <c r="U1708" s="239"/>
      <c r="V1708" s="269" t="e">
        <f>IF(C1708="",NA(),MATCH($B1708&amp;$C1708,'Smelter Look-up'!$J:$J,0))</f>
        <v>#N/A</v>
      </c>
      <c r="W1708" s="270"/>
      <c r="X1708" s="270">
        <f t="shared" ca="1" si="82"/>
        <v>0</v>
      </c>
      <c r="Y1708" s="270"/>
      <c r="Z1708" s="270"/>
      <c r="AB1708" s="272" t="str">
        <f t="shared" si="83"/>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1"/>
        <v/>
      </c>
      <c r="T1709" s="224" t="str">
        <f ca="1">IF(B1709="","",IF(ISERROR(MATCH($J1709,SorP!$B$1:$B$6230,0)),"",INDIRECT("'SorP'!$A$"&amp;MATCH($J1709,SorP!$B$1:$B$6230,0))))</f>
        <v/>
      </c>
      <c r="U1709" s="239"/>
      <c r="V1709" s="269" t="e">
        <f>IF(C1709="",NA(),MATCH($B1709&amp;$C1709,'Smelter Look-up'!$J:$J,0))</f>
        <v>#N/A</v>
      </c>
      <c r="W1709" s="270"/>
      <c r="X1709" s="270">
        <f t="shared" ca="1" si="82"/>
        <v>0</v>
      </c>
      <c r="Y1709" s="270"/>
      <c r="Z1709" s="270"/>
      <c r="AB1709" s="272" t="str">
        <f t="shared" si="83"/>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1"/>
        <v/>
      </c>
      <c r="T1710" s="224" t="str">
        <f ca="1">IF(B1710="","",IF(ISERROR(MATCH($J1710,SorP!$B$1:$B$6230,0)),"",INDIRECT("'SorP'!$A$"&amp;MATCH($J1710,SorP!$B$1:$B$6230,0))))</f>
        <v/>
      </c>
      <c r="U1710" s="239"/>
      <c r="V1710" s="269" t="e">
        <f>IF(C1710="",NA(),MATCH($B1710&amp;$C1710,'Smelter Look-up'!$J:$J,0))</f>
        <v>#N/A</v>
      </c>
      <c r="W1710" s="270"/>
      <c r="X1710" s="270">
        <f t="shared" ca="1" si="82"/>
        <v>0</v>
      </c>
      <c r="Y1710" s="270"/>
      <c r="Z1710" s="270"/>
      <c r="AB1710" s="272" t="str">
        <f t="shared" si="83"/>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1"/>
        <v/>
      </c>
      <c r="T1711" s="224" t="str">
        <f ca="1">IF(B1711="","",IF(ISERROR(MATCH($J1711,SorP!$B$1:$B$6230,0)),"",INDIRECT("'SorP'!$A$"&amp;MATCH($J1711,SorP!$B$1:$B$6230,0))))</f>
        <v/>
      </c>
      <c r="U1711" s="239"/>
      <c r="V1711" s="269" t="e">
        <f>IF(C1711="",NA(),MATCH($B1711&amp;$C1711,'Smelter Look-up'!$J:$J,0))</f>
        <v>#N/A</v>
      </c>
      <c r="W1711" s="270"/>
      <c r="X1711" s="270">
        <f t="shared" ca="1" si="82"/>
        <v>0</v>
      </c>
      <c r="Y1711" s="270"/>
      <c r="Z1711" s="270"/>
      <c r="AB1711" s="272" t="str">
        <f t="shared" si="83"/>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1"/>
        <v/>
      </c>
      <c r="T1712" s="224" t="str">
        <f ca="1">IF(B1712="","",IF(ISERROR(MATCH($J1712,SorP!$B$1:$B$6230,0)),"",INDIRECT("'SorP'!$A$"&amp;MATCH($J1712,SorP!$B$1:$B$6230,0))))</f>
        <v/>
      </c>
      <c r="U1712" s="239"/>
      <c r="V1712" s="269" t="e">
        <f>IF(C1712="",NA(),MATCH($B1712&amp;$C1712,'Smelter Look-up'!$J:$J,0))</f>
        <v>#N/A</v>
      </c>
      <c r="W1712" s="270"/>
      <c r="X1712" s="270">
        <f t="shared" ca="1" si="82"/>
        <v>0</v>
      </c>
      <c r="Y1712" s="270"/>
      <c r="Z1712" s="270"/>
      <c r="AB1712" s="272" t="str">
        <f t="shared" si="83"/>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1"/>
        <v/>
      </c>
      <c r="T1713" s="224" t="str">
        <f ca="1">IF(B1713="","",IF(ISERROR(MATCH($J1713,SorP!$B$1:$B$6230,0)),"",INDIRECT("'SorP'!$A$"&amp;MATCH($J1713,SorP!$B$1:$B$6230,0))))</f>
        <v/>
      </c>
      <c r="U1713" s="239"/>
      <c r="V1713" s="269" t="e">
        <f>IF(C1713="",NA(),MATCH($B1713&amp;$C1713,'Smelter Look-up'!$J:$J,0))</f>
        <v>#N/A</v>
      </c>
      <c r="W1713" s="270"/>
      <c r="X1713" s="270">
        <f t="shared" ca="1" si="82"/>
        <v>0</v>
      </c>
      <c r="Y1713" s="270"/>
      <c r="Z1713" s="270"/>
      <c r="AB1713" s="272" t="str">
        <f t="shared" si="83"/>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1"/>
        <v/>
      </c>
      <c r="T1714" s="224" t="str">
        <f ca="1">IF(B1714="","",IF(ISERROR(MATCH($J1714,SorP!$B$1:$B$6230,0)),"",INDIRECT("'SorP'!$A$"&amp;MATCH($J1714,SorP!$B$1:$B$6230,0))))</f>
        <v/>
      </c>
      <c r="U1714" s="239"/>
      <c r="V1714" s="269" t="e">
        <f>IF(C1714="",NA(),MATCH($B1714&amp;$C1714,'Smelter Look-up'!$J:$J,0))</f>
        <v>#N/A</v>
      </c>
      <c r="W1714" s="270"/>
      <c r="X1714" s="270">
        <f t="shared" ca="1" si="82"/>
        <v>0</v>
      </c>
      <c r="Y1714" s="270"/>
      <c r="Z1714" s="270"/>
      <c r="AB1714" s="272" t="str">
        <f t="shared" si="83"/>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1"/>
        <v/>
      </c>
      <c r="T1715" s="224" t="str">
        <f ca="1">IF(B1715="","",IF(ISERROR(MATCH($J1715,SorP!$B$1:$B$6230,0)),"",INDIRECT("'SorP'!$A$"&amp;MATCH($J1715,SorP!$B$1:$B$6230,0))))</f>
        <v/>
      </c>
      <c r="U1715" s="239"/>
      <c r="V1715" s="269" t="e">
        <f>IF(C1715="",NA(),MATCH($B1715&amp;$C1715,'Smelter Look-up'!$J:$J,0))</f>
        <v>#N/A</v>
      </c>
      <c r="W1715" s="270"/>
      <c r="X1715" s="270">
        <f t="shared" ca="1" si="82"/>
        <v>0</v>
      </c>
      <c r="Y1715" s="270"/>
      <c r="Z1715" s="270"/>
      <c r="AB1715" s="272" t="str">
        <f t="shared" si="83"/>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1"/>
        <v/>
      </c>
      <c r="T1716" s="224" t="str">
        <f ca="1">IF(B1716="","",IF(ISERROR(MATCH($J1716,SorP!$B$1:$B$6230,0)),"",INDIRECT("'SorP'!$A$"&amp;MATCH($J1716,SorP!$B$1:$B$6230,0))))</f>
        <v/>
      </c>
      <c r="U1716" s="239"/>
      <c r="V1716" s="269" t="e">
        <f>IF(C1716="",NA(),MATCH($B1716&amp;$C1716,'Smelter Look-up'!$J:$J,0))</f>
        <v>#N/A</v>
      </c>
      <c r="W1716" s="270"/>
      <c r="X1716" s="270">
        <f t="shared" ca="1" si="82"/>
        <v>0</v>
      </c>
      <c r="Y1716" s="270"/>
      <c r="Z1716" s="270"/>
      <c r="AB1716" s="272" t="str">
        <f t="shared" si="83"/>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1"/>
        <v/>
      </c>
      <c r="T1717" s="224" t="str">
        <f ca="1">IF(B1717="","",IF(ISERROR(MATCH($J1717,SorP!$B$1:$B$6230,0)),"",INDIRECT("'SorP'!$A$"&amp;MATCH($J1717,SorP!$B$1:$B$6230,0))))</f>
        <v/>
      </c>
      <c r="U1717" s="239"/>
      <c r="V1717" s="269" t="e">
        <f>IF(C1717="",NA(),MATCH($B1717&amp;$C1717,'Smelter Look-up'!$J:$J,0))</f>
        <v>#N/A</v>
      </c>
      <c r="W1717" s="270"/>
      <c r="X1717" s="270">
        <f t="shared" ca="1" si="82"/>
        <v>0</v>
      </c>
      <c r="Y1717" s="270"/>
      <c r="Z1717" s="270"/>
      <c r="AB1717" s="272" t="str">
        <f t="shared" si="83"/>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1"/>
        <v/>
      </c>
      <c r="T1718" s="224" t="str">
        <f ca="1">IF(B1718="","",IF(ISERROR(MATCH($J1718,SorP!$B$1:$B$6230,0)),"",INDIRECT("'SorP'!$A$"&amp;MATCH($J1718,SorP!$B$1:$B$6230,0))))</f>
        <v/>
      </c>
      <c r="U1718" s="239"/>
      <c r="V1718" s="269" t="e">
        <f>IF(C1718="",NA(),MATCH($B1718&amp;$C1718,'Smelter Look-up'!$J:$J,0))</f>
        <v>#N/A</v>
      </c>
      <c r="W1718" s="270"/>
      <c r="X1718" s="270">
        <f t="shared" ca="1" si="82"/>
        <v>0</v>
      </c>
      <c r="Y1718" s="270"/>
      <c r="Z1718" s="270"/>
      <c r="AB1718" s="272" t="str">
        <f t="shared" si="83"/>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1"/>
        <v/>
      </c>
      <c r="T1719" s="224" t="str">
        <f ca="1">IF(B1719="","",IF(ISERROR(MATCH($J1719,SorP!$B$1:$B$6230,0)),"",INDIRECT("'SorP'!$A$"&amp;MATCH($J1719,SorP!$B$1:$B$6230,0))))</f>
        <v/>
      </c>
      <c r="U1719" s="239"/>
      <c r="V1719" s="269" t="e">
        <f>IF(C1719="",NA(),MATCH($B1719&amp;$C1719,'Smelter Look-up'!$J:$J,0))</f>
        <v>#N/A</v>
      </c>
      <c r="W1719" s="270"/>
      <c r="X1719" s="270">
        <f t="shared" ca="1" si="82"/>
        <v>0</v>
      </c>
      <c r="Y1719" s="270"/>
      <c r="Z1719" s="270"/>
      <c r="AB1719" s="272" t="str">
        <f t="shared" si="83"/>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1"/>
        <v/>
      </c>
      <c r="T1720" s="224" t="str">
        <f ca="1">IF(B1720="","",IF(ISERROR(MATCH($J1720,SorP!$B$1:$B$6230,0)),"",INDIRECT("'SorP'!$A$"&amp;MATCH($J1720,SorP!$B$1:$B$6230,0))))</f>
        <v/>
      </c>
      <c r="U1720" s="239"/>
      <c r="V1720" s="269" t="e">
        <f>IF(C1720="",NA(),MATCH($B1720&amp;$C1720,'Smelter Look-up'!$J:$J,0))</f>
        <v>#N/A</v>
      </c>
      <c r="W1720" s="270"/>
      <c r="X1720" s="270">
        <f t="shared" ca="1" si="82"/>
        <v>0</v>
      </c>
      <c r="Y1720" s="270"/>
      <c r="Z1720" s="270"/>
      <c r="AB1720" s="272" t="str">
        <f t="shared" si="83"/>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1"/>
        <v/>
      </c>
      <c r="T1721" s="224" t="str">
        <f ca="1">IF(B1721="","",IF(ISERROR(MATCH($J1721,SorP!$B$1:$B$6230,0)),"",INDIRECT("'SorP'!$A$"&amp;MATCH($J1721,SorP!$B$1:$B$6230,0))))</f>
        <v/>
      </c>
      <c r="U1721" s="239"/>
      <c r="V1721" s="269" t="e">
        <f>IF(C1721="",NA(),MATCH($B1721&amp;$C1721,'Smelter Look-up'!$J:$J,0))</f>
        <v>#N/A</v>
      </c>
      <c r="W1721" s="270"/>
      <c r="X1721" s="270">
        <f t="shared" ca="1" si="82"/>
        <v>0</v>
      </c>
      <c r="Y1721" s="270"/>
      <c r="Z1721" s="270"/>
      <c r="AB1721" s="272" t="str">
        <f t="shared" si="83"/>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1"/>
        <v/>
      </c>
      <c r="T1722" s="224" t="str">
        <f ca="1">IF(B1722="","",IF(ISERROR(MATCH($J1722,SorP!$B$1:$B$6230,0)),"",INDIRECT("'SorP'!$A$"&amp;MATCH($J1722,SorP!$B$1:$B$6230,0))))</f>
        <v/>
      </c>
      <c r="U1722" s="239"/>
      <c r="V1722" s="269" t="e">
        <f>IF(C1722="",NA(),MATCH($B1722&amp;$C1722,'Smelter Look-up'!$J:$J,0))</f>
        <v>#N/A</v>
      </c>
      <c r="W1722" s="270"/>
      <c r="X1722" s="270">
        <f t="shared" ca="1" si="82"/>
        <v>0</v>
      </c>
      <c r="Y1722" s="270"/>
      <c r="Z1722" s="270"/>
      <c r="AB1722" s="272" t="str">
        <f t="shared" si="83"/>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4">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5">IF(AND(C1723="Smelter not listed",OR(LEN(D1723)=0,LEN(E1723)=0)),1,0)</f>
        <v>0</v>
      </c>
      <c r="Y1723" s="270"/>
      <c r="Z1723" s="270"/>
      <c r="AB1723" s="272" t="str">
        <f t="shared" ref="AB1723:AB1786" si="86">B1723&amp;C1723</f>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4"/>
        <v/>
      </c>
      <c r="T1772" s="224" t="str">
        <f ca="1">IF(B1772="","",IF(ISERROR(MATCH($J1772,SorP!$B$1:$B$6230,0)),"",INDIRECT("'SorP'!$A$"&amp;MATCH($J1772,SorP!$B$1:$B$6230,0))))</f>
        <v/>
      </c>
      <c r="U1772" s="239"/>
      <c r="V1772" s="269" t="e">
        <f>IF(C1772="",NA(),MATCH($B1772&amp;$C1772,'Smelter Look-up'!$J:$J,0))</f>
        <v>#N/A</v>
      </c>
      <c r="W1772" s="270"/>
      <c r="X1772" s="270">
        <f t="shared" ca="1" si="85"/>
        <v>0</v>
      </c>
      <c r="Y1772" s="270"/>
      <c r="Z1772" s="270"/>
      <c r="AB1772" s="272" t="str">
        <f t="shared" si="86"/>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4"/>
        <v/>
      </c>
      <c r="T1773" s="224" t="str">
        <f ca="1">IF(B1773="","",IF(ISERROR(MATCH($J1773,SorP!$B$1:$B$6230,0)),"",INDIRECT("'SorP'!$A$"&amp;MATCH($J1773,SorP!$B$1:$B$6230,0))))</f>
        <v/>
      </c>
      <c r="U1773" s="239"/>
      <c r="V1773" s="269" t="e">
        <f>IF(C1773="",NA(),MATCH($B1773&amp;$C1773,'Smelter Look-up'!$J:$J,0))</f>
        <v>#N/A</v>
      </c>
      <c r="W1773" s="270"/>
      <c r="X1773" s="270">
        <f t="shared" ca="1" si="85"/>
        <v>0</v>
      </c>
      <c r="Y1773" s="270"/>
      <c r="Z1773" s="270"/>
      <c r="AB1773" s="272" t="str">
        <f t="shared" si="86"/>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4"/>
        <v/>
      </c>
      <c r="T1774" s="224" t="str">
        <f ca="1">IF(B1774="","",IF(ISERROR(MATCH($J1774,SorP!$B$1:$B$6230,0)),"",INDIRECT("'SorP'!$A$"&amp;MATCH($J1774,SorP!$B$1:$B$6230,0))))</f>
        <v/>
      </c>
      <c r="U1774" s="239"/>
      <c r="V1774" s="269" t="e">
        <f>IF(C1774="",NA(),MATCH($B1774&amp;$C1774,'Smelter Look-up'!$J:$J,0))</f>
        <v>#N/A</v>
      </c>
      <c r="W1774" s="270"/>
      <c r="X1774" s="270">
        <f t="shared" ca="1" si="85"/>
        <v>0</v>
      </c>
      <c r="Y1774" s="270"/>
      <c r="Z1774" s="270"/>
      <c r="AB1774" s="272" t="str">
        <f t="shared" si="86"/>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4"/>
        <v/>
      </c>
      <c r="T1775" s="224" t="str">
        <f ca="1">IF(B1775="","",IF(ISERROR(MATCH($J1775,SorP!$B$1:$B$6230,0)),"",INDIRECT("'SorP'!$A$"&amp;MATCH($J1775,SorP!$B$1:$B$6230,0))))</f>
        <v/>
      </c>
      <c r="U1775" s="239"/>
      <c r="V1775" s="269" t="e">
        <f>IF(C1775="",NA(),MATCH($B1775&amp;$C1775,'Smelter Look-up'!$J:$J,0))</f>
        <v>#N/A</v>
      </c>
      <c r="W1775" s="270"/>
      <c r="X1775" s="270">
        <f t="shared" ca="1" si="85"/>
        <v>0</v>
      </c>
      <c r="Y1775" s="270"/>
      <c r="Z1775" s="270"/>
      <c r="AB1775" s="272" t="str">
        <f t="shared" si="86"/>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4"/>
        <v/>
      </c>
      <c r="T1776" s="224" t="str">
        <f ca="1">IF(B1776="","",IF(ISERROR(MATCH($J1776,SorP!$B$1:$B$6230,0)),"",INDIRECT("'SorP'!$A$"&amp;MATCH($J1776,SorP!$B$1:$B$6230,0))))</f>
        <v/>
      </c>
      <c r="U1776" s="239"/>
      <c r="V1776" s="269" t="e">
        <f>IF(C1776="",NA(),MATCH($B1776&amp;$C1776,'Smelter Look-up'!$J:$J,0))</f>
        <v>#N/A</v>
      </c>
      <c r="W1776" s="270"/>
      <c r="X1776" s="270">
        <f t="shared" ca="1" si="85"/>
        <v>0</v>
      </c>
      <c r="Y1776" s="270"/>
      <c r="Z1776" s="270"/>
      <c r="AB1776" s="272" t="str">
        <f t="shared" si="86"/>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4"/>
        <v/>
      </c>
      <c r="T1777" s="224" t="str">
        <f ca="1">IF(B1777="","",IF(ISERROR(MATCH($J1777,SorP!$B$1:$B$6230,0)),"",INDIRECT("'SorP'!$A$"&amp;MATCH($J1777,SorP!$B$1:$B$6230,0))))</f>
        <v/>
      </c>
      <c r="U1777" s="239"/>
      <c r="V1777" s="269" t="e">
        <f>IF(C1777="",NA(),MATCH($B1777&amp;$C1777,'Smelter Look-up'!$J:$J,0))</f>
        <v>#N/A</v>
      </c>
      <c r="W1777" s="270"/>
      <c r="X1777" s="270">
        <f t="shared" ca="1" si="85"/>
        <v>0</v>
      </c>
      <c r="Y1777" s="270"/>
      <c r="Z1777" s="270"/>
      <c r="AB1777" s="272" t="str">
        <f t="shared" si="86"/>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4"/>
        <v/>
      </c>
      <c r="T1778" s="224" t="str">
        <f ca="1">IF(B1778="","",IF(ISERROR(MATCH($J1778,SorP!$B$1:$B$6230,0)),"",INDIRECT("'SorP'!$A$"&amp;MATCH($J1778,SorP!$B$1:$B$6230,0))))</f>
        <v/>
      </c>
      <c r="U1778" s="239"/>
      <c r="V1778" s="269" t="e">
        <f>IF(C1778="",NA(),MATCH($B1778&amp;$C1778,'Smelter Look-up'!$J:$J,0))</f>
        <v>#N/A</v>
      </c>
      <c r="W1778" s="270"/>
      <c r="X1778" s="270">
        <f t="shared" ca="1" si="85"/>
        <v>0</v>
      </c>
      <c r="Y1778" s="270"/>
      <c r="Z1778" s="270"/>
      <c r="AB1778" s="272" t="str">
        <f t="shared" si="86"/>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4"/>
        <v/>
      </c>
      <c r="T1779" s="224" t="str">
        <f ca="1">IF(B1779="","",IF(ISERROR(MATCH($J1779,SorP!$B$1:$B$6230,0)),"",INDIRECT("'SorP'!$A$"&amp;MATCH($J1779,SorP!$B$1:$B$6230,0))))</f>
        <v/>
      </c>
      <c r="U1779" s="239"/>
      <c r="V1779" s="269" t="e">
        <f>IF(C1779="",NA(),MATCH($B1779&amp;$C1779,'Smelter Look-up'!$J:$J,0))</f>
        <v>#N/A</v>
      </c>
      <c r="W1779" s="270"/>
      <c r="X1779" s="270">
        <f t="shared" ca="1" si="85"/>
        <v>0</v>
      </c>
      <c r="Y1779" s="270"/>
      <c r="Z1779" s="270"/>
      <c r="AB1779" s="272" t="str">
        <f t="shared" si="86"/>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4"/>
        <v/>
      </c>
      <c r="T1780" s="224" t="str">
        <f ca="1">IF(B1780="","",IF(ISERROR(MATCH($J1780,SorP!$B$1:$B$6230,0)),"",INDIRECT("'SorP'!$A$"&amp;MATCH($J1780,SorP!$B$1:$B$6230,0))))</f>
        <v/>
      </c>
      <c r="U1780" s="239"/>
      <c r="V1780" s="269" t="e">
        <f>IF(C1780="",NA(),MATCH($B1780&amp;$C1780,'Smelter Look-up'!$J:$J,0))</f>
        <v>#N/A</v>
      </c>
      <c r="W1780" s="270"/>
      <c r="X1780" s="270">
        <f t="shared" ca="1" si="85"/>
        <v>0</v>
      </c>
      <c r="Y1780" s="270"/>
      <c r="Z1780" s="270"/>
      <c r="AB1780" s="272" t="str">
        <f t="shared" si="86"/>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4"/>
        <v/>
      </c>
      <c r="T1781" s="224" t="str">
        <f ca="1">IF(B1781="","",IF(ISERROR(MATCH($J1781,SorP!$B$1:$B$6230,0)),"",INDIRECT("'SorP'!$A$"&amp;MATCH($J1781,SorP!$B$1:$B$6230,0))))</f>
        <v/>
      </c>
      <c r="U1781" s="239"/>
      <c r="V1781" s="269" t="e">
        <f>IF(C1781="",NA(),MATCH($B1781&amp;$C1781,'Smelter Look-up'!$J:$J,0))</f>
        <v>#N/A</v>
      </c>
      <c r="W1781" s="270"/>
      <c r="X1781" s="270">
        <f t="shared" ca="1" si="85"/>
        <v>0</v>
      </c>
      <c r="Y1781" s="270"/>
      <c r="Z1781" s="270"/>
      <c r="AB1781" s="272" t="str">
        <f t="shared" si="86"/>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4"/>
        <v/>
      </c>
      <c r="T1782" s="224" t="str">
        <f ca="1">IF(B1782="","",IF(ISERROR(MATCH($J1782,SorP!$B$1:$B$6230,0)),"",INDIRECT("'SorP'!$A$"&amp;MATCH($J1782,SorP!$B$1:$B$6230,0))))</f>
        <v/>
      </c>
      <c r="U1782" s="239"/>
      <c r="V1782" s="269" t="e">
        <f>IF(C1782="",NA(),MATCH($B1782&amp;$C1782,'Smelter Look-up'!$J:$J,0))</f>
        <v>#N/A</v>
      </c>
      <c r="W1782" s="270"/>
      <c r="X1782" s="270">
        <f t="shared" ca="1" si="85"/>
        <v>0</v>
      </c>
      <c r="Y1782" s="270"/>
      <c r="Z1782" s="270"/>
      <c r="AB1782" s="272" t="str">
        <f t="shared" si="86"/>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4"/>
        <v/>
      </c>
      <c r="T1783" s="224" t="str">
        <f ca="1">IF(B1783="","",IF(ISERROR(MATCH($J1783,SorP!$B$1:$B$6230,0)),"",INDIRECT("'SorP'!$A$"&amp;MATCH($J1783,SorP!$B$1:$B$6230,0))))</f>
        <v/>
      </c>
      <c r="U1783" s="239"/>
      <c r="V1783" s="269" t="e">
        <f>IF(C1783="",NA(),MATCH($B1783&amp;$C1783,'Smelter Look-up'!$J:$J,0))</f>
        <v>#N/A</v>
      </c>
      <c r="W1783" s="270"/>
      <c r="X1783" s="270">
        <f t="shared" ca="1" si="85"/>
        <v>0</v>
      </c>
      <c r="Y1783" s="270"/>
      <c r="Z1783" s="270"/>
      <c r="AB1783" s="272" t="str">
        <f t="shared" si="86"/>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4"/>
        <v/>
      </c>
      <c r="T1784" s="224" t="str">
        <f ca="1">IF(B1784="","",IF(ISERROR(MATCH($J1784,SorP!$B$1:$B$6230,0)),"",INDIRECT("'SorP'!$A$"&amp;MATCH($J1784,SorP!$B$1:$B$6230,0))))</f>
        <v/>
      </c>
      <c r="U1784" s="239"/>
      <c r="V1784" s="269" t="e">
        <f>IF(C1784="",NA(),MATCH($B1784&amp;$C1784,'Smelter Look-up'!$J:$J,0))</f>
        <v>#N/A</v>
      </c>
      <c r="W1784" s="270"/>
      <c r="X1784" s="270">
        <f t="shared" ca="1" si="85"/>
        <v>0</v>
      </c>
      <c r="Y1784" s="270"/>
      <c r="Z1784" s="270"/>
      <c r="AB1784" s="272" t="str">
        <f t="shared" si="86"/>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4"/>
        <v/>
      </c>
      <c r="T1785" s="224" t="str">
        <f ca="1">IF(B1785="","",IF(ISERROR(MATCH($J1785,SorP!$B$1:$B$6230,0)),"",INDIRECT("'SorP'!$A$"&amp;MATCH($J1785,SorP!$B$1:$B$6230,0))))</f>
        <v/>
      </c>
      <c r="U1785" s="239"/>
      <c r="V1785" s="269" t="e">
        <f>IF(C1785="",NA(),MATCH($B1785&amp;$C1785,'Smelter Look-up'!$J:$J,0))</f>
        <v>#N/A</v>
      </c>
      <c r="W1785" s="270"/>
      <c r="X1785" s="270">
        <f t="shared" ca="1" si="85"/>
        <v>0</v>
      </c>
      <c r="Y1785" s="270"/>
      <c r="Z1785" s="270"/>
      <c r="AB1785" s="272" t="str">
        <f t="shared" si="86"/>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4"/>
        <v/>
      </c>
      <c r="T1786" s="224" t="str">
        <f ca="1">IF(B1786="","",IF(ISERROR(MATCH($J1786,SorP!$B$1:$B$6230,0)),"",INDIRECT("'SorP'!$A$"&amp;MATCH($J1786,SorP!$B$1:$B$6230,0))))</f>
        <v/>
      </c>
      <c r="U1786" s="239"/>
      <c r="V1786" s="269" t="e">
        <f>IF(C1786="",NA(),MATCH($B1786&amp;$C1786,'Smelter Look-up'!$J:$J,0))</f>
        <v>#N/A</v>
      </c>
      <c r="W1786" s="270"/>
      <c r="X1786" s="270">
        <f t="shared" ca="1" si="85"/>
        <v>0</v>
      </c>
      <c r="Y1786" s="270"/>
      <c r="Z1786" s="270"/>
      <c r="AB1786" s="272" t="str">
        <f t="shared" si="86"/>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87">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88">IF(AND(C1787="Smelter not listed",OR(LEN(D1787)=0,LEN(E1787)=0)),1,0)</f>
        <v>0</v>
      </c>
      <c r="Y1787" s="270"/>
      <c r="Z1787" s="270"/>
      <c r="AB1787" s="272" t="str">
        <f t="shared" ref="AB1787:AB1850" si="89">B1787&amp;C1787</f>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7"/>
        <v/>
      </c>
      <c r="T1836" s="224" t="str">
        <f ca="1">IF(B1836="","",IF(ISERROR(MATCH($J1836,SorP!$B$1:$B$6230,0)),"",INDIRECT("'SorP'!$A$"&amp;MATCH($J1836,SorP!$B$1:$B$6230,0))))</f>
        <v/>
      </c>
      <c r="U1836" s="239"/>
      <c r="V1836" s="269" t="e">
        <f>IF(C1836="",NA(),MATCH($B1836&amp;$C1836,'Smelter Look-up'!$J:$J,0))</f>
        <v>#N/A</v>
      </c>
      <c r="W1836" s="270"/>
      <c r="X1836" s="270">
        <f t="shared" ca="1" si="88"/>
        <v>0</v>
      </c>
      <c r="Y1836" s="270"/>
      <c r="Z1836" s="270"/>
      <c r="AB1836" s="272" t="str">
        <f t="shared" si="89"/>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7"/>
        <v/>
      </c>
      <c r="T1837" s="224" t="str">
        <f ca="1">IF(B1837="","",IF(ISERROR(MATCH($J1837,SorP!$B$1:$B$6230,0)),"",INDIRECT("'SorP'!$A$"&amp;MATCH($J1837,SorP!$B$1:$B$6230,0))))</f>
        <v/>
      </c>
      <c r="U1837" s="239"/>
      <c r="V1837" s="269" t="e">
        <f>IF(C1837="",NA(),MATCH($B1837&amp;$C1837,'Smelter Look-up'!$J:$J,0))</f>
        <v>#N/A</v>
      </c>
      <c r="W1837" s="270"/>
      <c r="X1837" s="270">
        <f t="shared" ca="1" si="88"/>
        <v>0</v>
      </c>
      <c r="Y1837" s="270"/>
      <c r="Z1837" s="270"/>
      <c r="AB1837" s="272" t="str">
        <f t="shared" si="89"/>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7"/>
        <v/>
      </c>
      <c r="T1838" s="224" t="str">
        <f ca="1">IF(B1838="","",IF(ISERROR(MATCH($J1838,SorP!$B$1:$B$6230,0)),"",INDIRECT("'SorP'!$A$"&amp;MATCH($J1838,SorP!$B$1:$B$6230,0))))</f>
        <v/>
      </c>
      <c r="U1838" s="239"/>
      <c r="V1838" s="269" t="e">
        <f>IF(C1838="",NA(),MATCH($B1838&amp;$C1838,'Smelter Look-up'!$J:$J,0))</f>
        <v>#N/A</v>
      </c>
      <c r="W1838" s="270"/>
      <c r="X1838" s="270">
        <f t="shared" ca="1" si="88"/>
        <v>0</v>
      </c>
      <c r="Y1838" s="270"/>
      <c r="Z1838" s="270"/>
      <c r="AB1838" s="272" t="str">
        <f t="shared" si="89"/>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7"/>
        <v/>
      </c>
      <c r="T1839" s="224" t="str">
        <f ca="1">IF(B1839="","",IF(ISERROR(MATCH($J1839,SorP!$B$1:$B$6230,0)),"",INDIRECT("'SorP'!$A$"&amp;MATCH($J1839,SorP!$B$1:$B$6230,0))))</f>
        <v/>
      </c>
      <c r="U1839" s="239"/>
      <c r="V1839" s="269" t="e">
        <f>IF(C1839="",NA(),MATCH($B1839&amp;$C1839,'Smelter Look-up'!$J:$J,0))</f>
        <v>#N/A</v>
      </c>
      <c r="W1839" s="270"/>
      <c r="X1839" s="270">
        <f t="shared" ca="1" si="88"/>
        <v>0</v>
      </c>
      <c r="Y1839" s="270"/>
      <c r="Z1839" s="270"/>
      <c r="AB1839" s="272" t="str">
        <f t="shared" si="89"/>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7"/>
        <v/>
      </c>
      <c r="T1840" s="224" t="str">
        <f ca="1">IF(B1840="","",IF(ISERROR(MATCH($J1840,SorP!$B$1:$B$6230,0)),"",INDIRECT("'SorP'!$A$"&amp;MATCH($J1840,SorP!$B$1:$B$6230,0))))</f>
        <v/>
      </c>
      <c r="U1840" s="239"/>
      <c r="V1840" s="269" t="e">
        <f>IF(C1840="",NA(),MATCH($B1840&amp;$C1840,'Smelter Look-up'!$J:$J,0))</f>
        <v>#N/A</v>
      </c>
      <c r="W1840" s="270"/>
      <c r="X1840" s="270">
        <f t="shared" ca="1" si="88"/>
        <v>0</v>
      </c>
      <c r="Y1840" s="270"/>
      <c r="Z1840" s="270"/>
      <c r="AB1840" s="272" t="str">
        <f t="shared" si="89"/>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7"/>
        <v/>
      </c>
      <c r="T1841" s="224" t="str">
        <f ca="1">IF(B1841="","",IF(ISERROR(MATCH($J1841,SorP!$B$1:$B$6230,0)),"",INDIRECT("'SorP'!$A$"&amp;MATCH($J1841,SorP!$B$1:$B$6230,0))))</f>
        <v/>
      </c>
      <c r="U1841" s="239"/>
      <c r="V1841" s="269" t="e">
        <f>IF(C1841="",NA(),MATCH($B1841&amp;$C1841,'Smelter Look-up'!$J:$J,0))</f>
        <v>#N/A</v>
      </c>
      <c r="W1841" s="270"/>
      <c r="X1841" s="270">
        <f t="shared" ca="1" si="88"/>
        <v>0</v>
      </c>
      <c r="Y1841" s="270"/>
      <c r="Z1841" s="270"/>
      <c r="AB1841" s="272" t="str">
        <f t="shared" si="89"/>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7"/>
        <v/>
      </c>
      <c r="T1842" s="224" t="str">
        <f ca="1">IF(B1842="","",IF(ISERROR(MATCH($J1842,SorP!$B$1:$B$6230,0)),"",INDIRECT("'SorP'!$A$"&amp;MATCH($J1842,SorP!$B$1:$B$6230,0))))</f>
        <v/>
      </c>
      <c r="U1842" s="239"/>
      <c r="V1842" s="269" t="e">
        <f>IF(C1842="",NA(),MATCH($B1842&amp;$C1842,'Smelter Look-up'!$J:$J,0))</f>
        <v>#N/A</v>
      </c>
      <c r="W1842" s="270"/>
      <c r="X1842" s="270">
        <f t="shared" ca="1" si="88"/>
        <v>0</v>
      </c>
      <c r="Y1842" s="270"/>
      <c r="Z1842" s="270"/>
      <c r="AB1842" s="272" t="str">
        <f t="shared" si="89"/>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7"/>
        <v/>
      </c>
      <c r="T1843" s="224" t="str">
        <f ca="1">IF(B1843="","",IF(ISERROR(MATCH($J1843,SorP!$B$1:$B$6230,0)),"",INDIRECT("'SorP'!$A$"&amp;MATCH($J1843,SorP!$B$1:$B$6230,0))))</f>
        <v/>
      </c>
      <c r="U1843" s="239"/>
      <c r="V1843" s="269" t="e">
        <f>IF(C1843="",NA(),MATCH($B1843&amp;$C1843,'Smelter Look-up'!$J:$J,0))</f>
        <v>#N/A</v>
      </c>
      <c r="W1843" s="270"/>
      <c r="X1843" s="270">
        <f t="shared" ca="1" si="88"/>
        <v>0</v>
      </c>
      <c r="Y1843" s="270"/>
      <c r="Z1843" s="270"/>
      <c r="AB1843" s="272" t="str">
        <f t="shared" si="89"/>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7"/>
        <v/>
      </c>
      <c r="T1844" s="224" t="str">
        <f ca="1">IF(B1844="","",IF(ISERROR(MATCH($J1844,SorP!$B$1:$B$6230,0)),"",INDIRECT("'SorP'!$A$"&amp;MATCH($J1844,SorP!$B$1:$B$6230,0))))</f>
        <v/>
      </c>
      <c r="U1844" s="239"/>
      <c r="V1844" s="269" t="e">
        <f>IF(C1844="",NA(),MATCH($B1844&amp;$C1844,'Smelter Look-up'!$J:$J,0))</f>
        <v>#N/A</v>
      </c>
      <c r="W1844" s="270"/>
      <c r="X1844" s="270">
        <f t="shared" ca="1" si="88"/>
        <v>0</v>
      </c>
      <c r="Y1844" s="270"/>
      <c r="Z1844" s="270"/>
      <c r="AB1844" s="272" t="str">
        <f t="shared" si="89"/>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7"/>
        <v/>
      </c>
      <c r="T1845" s="224" t="str">
        <f ca="1">IF(B1845="","",IF(ISERROR(MATCH($J1845,SorP!$B$1:$B$6230,0)),"",INDIRECT("'SorP'!$A$"&amp;MATCH($J1845,SorP!$B$1:$B$6230,0))))</f>
        <v/>
      </c>
      <c r="U1845" s="239"/>
      <c r="V1845" s="269" t="e">
        <f>IF(C1845="",NA(),MATCH($B1845&amp;$C1845,'Smelter Look-up'!$J:$J,0))</f>
        <v>#N/A</v>
      </c>
      <c r="W1845" s="270"/>
      <c r="X1845" s="270">
        <f t="shared" ca="1" si="88"/>
        <v>0</v>
      </c>
      <c r="Y1845" s="270"/>
      <c r="Z1845" s="270"/>
      <c r="AB1845" s="272" t="str">
        <f t="shared" si="89"/>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7"/>
        <v/>
      </c>
      <c r="T1846" s="224" t="str">
        <f ca="1">IF(B1846="","",IF(ISERROR(MATCH($J1846,SorP!$B$1:$B$6230,0)),"",INDIRECT("'SorP'!$A$"&amp;MATCH($J1846,SorP!$B$1:$B$6230,0))))</f>
        <v/>
      </c>
      <c r="U1846" s="239"/>
      <c r="V1846" s="269" t="e">
        <f>IF(C1846="",NA(),MATCH($B1846&amp;$C1846,'Smelter Look-up'!$J:$J,0))</f>
        <v>#N/A</v>
      </c>
      <c r="W1846" s="270"/>
      <c r="X1846" s="270">
        <f t="shared" ca="1" si="88"/>
        <v>0</v>
      </c>
      <c r="Y1846" s="270"/>
      <c r="Z1846" s="270"/>
      <c r="AB1846" s="272" t="str">
        <f t="shared" si="89"/>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7"/>
        <v/>
      </c>
      <c r="T1847" s="224" t="str">
        <f ca="1">IF(B1847="","",IF(ISERROR(MATCH($J1847,SorP!$B$1:$B$6230,0)),"",INDIRECT("'SorP'!$A$"&amp;MATCH($J1847,SorP!$B$1:$B$6230,0))))</f>
        <v/>
      </c>
      <c r="U1847" s="239"/>
      <c r="V1847" s="269" t="e">
        <f>IF(C1847="",NA(),MATCH($B1847&amp;$C1847,'Smelter Look-up'!$J:$J,0))</f>
        <v>#N/A</v>
      </c>
      <c r="W1847" s="270"/>
      <c r="X1847" s="270">
        <f t="shared" ca="1" si="88"/>
        <v>0</v>
      </c>
      <c r="Y1847" s="270"/>
      <c r="Z1847" s="270"/>
      <c r="AB1847" s="272" t="str">
        <f t="shared" si="89"/>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7"/>
        <v/>
      </c>
      <c r="T1848" s="224" t="str">
        <f ca="1">IF(B1848="","",IF(ISERROR(MATCH($J1848,SorP!$B$1:$B$6230,0)),"",INDIRECT("'SorP'!$A$"&amp;MATCH($J1848,SorP!$B$1:$B$6230,0))))</f>
        <v/>
      </c>
      <c r="U1848" s="239"/>
      <c r="V1848" s="269" t="e">
        <f>IF(C1848="",NA(),MATCH($B1848&amp;$C1848,'Smelter Look-up'!$J:$J,0))</f>
        <v>#N/A</v>
      </c>
      <c r="W1848" s="270"/>
      <c r="X1848" s="270">
        <f t="shared" ca="1" si="88"/>
        <v>0</v>
      </c>
      <c r="Y1848" s="270"/>
      <c r="Z1848" s="270"/>
      <c r="AB1848" s="272" t="str">
        <f t="shared" si="89"/>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87"/>
        <v/>
      </c>
      <c r="T1849" s="224" t="str">
        <f ca="1">IF(B1849="","",IF(ISERROR(MATCH($J1849,SorP!$B$1:$B$6230,0)),"",INDIRECT("'SorP'!$A$"&amp;MATCH($J1849,SorP!$B$1:$B$6230,0))))</f>
        <v/>
      </c>
      <c r="U1849" s="239"/>
      <c r="V1849" s="269" t="e">
        <f>IF(C1849="",NA(),MATCH($B1849&amp;$C1849,'Smelter Look-up'!$J:$J,0))</f>
        <v>#N/A</v>
      </c>
      <c r="W1849" s="270"/>
      <c r="X1849" s="270">
        <f t="shared" ca="1" si="88"/>
        <v>0</v>
      </c>
      <c r="Y1849" s="270"/>
      <c r="Z1849" s="270"/>
      <c r="AB1849" s="272" t="str">
        <f t="shared" si="89"/>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87"/>
        <v/>
      </c>
      <c r="T1850" s="224" t="str">
        <f ca="1">IF(B1850="","",IF(ISERROR(MATCH($J1850,SorP!$B$1:$B$6230,0)),"",INDIRECT("'SorP'!$A$"&amp;MATCH($J1850,SorP!$B$1:$B$6230,0))))</f>
        <v/>
      </c>
      <c r="U1850" s="239"/>
      <c r="V1850" s="269" t="e">
        <f>IF(C1850="",NA(),MATCH($B1850&amp;$C1850,'Smelter Look-up'!$J:$J,0))</f>
        <v>#N/A</v>
      </c>
      <c r="W1850" s="270"/>
      <c r="X1850" s="270">
        <f t="shared" ca="1" si="88"/>
        <v>0</v>
      </c>
      <c r="Y1850" s="270"/>
      <c r="Z1850" s="270"/>
      <c r="AB1850" s="272" t="str">
        <f t="shared" si="89"/>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0">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1">IF(AND(C1851="Smelter not listed",OR(LEN(D1851)=0,LEN(E1851)=0)),1,0)</f>
        <v>0</v>
      </c>
      <c r="Y1851" s="270"/>
      <c r="Z1851" s="270"/>
      <c r="AB1851" s="272" t="str">
        <f t="shared" ref="AB1851:AB1914" si="92">B1851&amp;C1851</f>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0"/>
        <v/>
      </c>
      <c r="T1900" s="224" t="str">
        <f ca="1">IF(B1900="","",IF(ISERROR(MATCH($J1900,SorP!$B$1:$B$6230,0)),"",INDIRECT("'SorP'!$A$"&amp;MATCH($J1900,SorP!$B$1:$B$6230,0))))</f>
        <v/>
      </c>
      <c r="U1900" s="239"/>
      <c r="V1900" s="269" t="e">
        <f>IF(C1900="",NA(),MATCH($B1900&amp;$C1900,'Smelter Look-up'!$J:$J,0))</f>
        <v>#N/A</v>
      </c>
      <c r="W1900" s="270"/>
      <c r="X1900" s="270">
        <f t="shared" ca="1" si="91"/>
        <v>0</v>
      </c>
      <c r="Y1900" s="270"/>
      <c r="Z1900" s="270"/>
      <c r="AB1900" s="272" t="str">
        <f t="shared" si="92"/>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0"/>
        <v/>
      </c>
      <c r="T1901" s="224" t="str">
        <f ca="1">IF(B1901="","",IF(ISERROR(MATCH($J1901,SorP!$B$1:$B$6230,0)),"",INDIRECT("'SorP'!$A$"&amp;MATCH($J1901,SorP!$B$1:$B$6230,0))))</f>
        <v/>
      </c>
      <c r="U1901" s="239"/>
      <c r="V1901" s="269" t="e">
        <f>IF(C1901="",NA(),MATCH($B1901&amp;$C1901,'Smelter Look-up'!$J:$J,0))</f>
        <v>#N/A</v>
      </c>
      <c r="W1901" s="270"/>
      <c r="X1901" s="270">
        <f t="shared" ca="1" si="91"/>
        <v>0</v>
      </c>
      <c r="Y1901" s="270"/>
      <c r="Z1901" s="270"/>
      <c r="AB1901" s="272" t="str">
        <f t="shared" si="92"/>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0"/>
        <v/>
      </c>
      <c r="T1902" s="224" t="str">
        <f ca="1">IF(B1902="","",IF(ISERROR(MATCH($J1902,SorP!$B$1:$B$6230,0)),"",INDIRECT("'SorP'!$A$"&amp;MATCH($J1902,SorP!$B$1:$B$6230,0))))</f>
        <v/>
      </c>
      <c r="U1902" s="239"/>
      <c r="V1902" s="269" t="e">
        <f>IF(C1902="",NA(),MATCH($B1902&amp;$C1902,'Smelter Look-up'!$J:$J,0))</f>
        <v>#N/A</v>
      </c>
      <c r="W1902" s="270"/>
      <c r="X1902" s="270">
        <f t="shared" ca="1" si="91"/>
        <v>0</v>
      </c>
      <c r="Y1902" s="270"/>
      <c r="Z1902" s="270"/>
      <c r="AB1902" s="272" t="str">
        <f t="shared" si="92"/>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0"/>
        <v/>
      </c>
      <c r="T1903" s="224" t="str">
        <f ca="1">IF(B1903="","",IF(ISERROR(MATCH($J1903,SorP!$B$1:$B$6230,0)),"",INDIRECT("'SorP'!$A$"&amp;MATCH($J1903,SorP!$B$1:$B$6230,0))))</f>
        <v/>
      </c>
      <c r="U1903" s="239"/>
      <c r="V1903" s="269" t="e">
        <f>IF(C1903="",NA(),MATCH($B1903&amp;$C1903,'Smelter Look-up'!$J:$J,0))</f>
        <v>#N/A</v>
      </c>
      <c r="W1903" s="270"/>
      <c r="X1903" s="270">
        <f t="shared" ca="1" si="91"/>
        <v>0</v>
      </c>
      <c r="Y1903" s="270"/>
      <c r="Z1903" s="270"/>
      <c r="AB1903" s="272" t="str">
        <f t="shared" si="92"/>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0"/>
        <v/>
      </c>
      <c r="T1904" s="224" t="str">
        <f ca="1">IF(B1904="","",IF(ISERROR(MATCH($J1904,SorP!$B$1:$B$6230,0)),"",INDIRECT("'SorP'!$A$"&amp;MATCH($J1904,SorP!$B$1:$B$6230,0))))</f>
        <v/>
      </c>
      <c r="U1904" s="239"/>
      <c r="V1904" s="269" t="e">
        <f>IF(C1904="",NA(),MATCH($B1904&amp;$C1904,'Smelter Look-up'!$J:$J,0))</f>
        <v>#N/A</v>
      </c>
      <c r="W1904" s="270"/>
      <c r="X1904" s="270">
        <f t="shared" ca="1" si="91"/>
        <v>0</v>
      </c>
      <c r="Y1904" s="270"/>
      <c r="Z1904" s="270"/>
      <c r="AB1904" s="272" t="str">
        <f t="shared" si="92"/>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0"/>
        <v/>
      </c>
      <c r="T1905" s="224" t="str">
        <f ca="1">IF(B1905="","",IF(ISERROR(MATCH($J1905,SorP!$B$1:$B$6230,0)),"",INDIRECT("'SorP'!$A$"&amp;MATCH($J1905,SorP!$B$1:$B$6230,0))))</f>
        <v/>
      </c>
      <c r="U1905" s="239"/>
      <c r="V1905" s="269" t="e">
        <f>IF(C1905="",NA(),MATCH($B1905&amp;$C1905,'Smelter Look-up'!$J:$J,0))</f>
        <v>#N/A</v>
      </c>
      <c r="W1905" s="270"/>
      <c r="X1905" s="270">
        <f t="shared" ca="1" si="91"/>
        <v>0</v>
      </c>
      <c r="Y1905" s="270"/>
      <c r="Z1905" s="270"/>
      <c r="AB1905" s="272" t="str">
        <f t="shared" si="92"/>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0"/>
        <v/>
      </c>
      <c r="T1906" s="224" t="str">
        <f ca="1">IF(B1906="","",IF(ISERROR(MATCH($J1906,SorP!$B$1:$B$6230,0)),"",INDIRECT("'SorP'!$A$"&amp;MATCH($J1906,SorP!$B$1:$B$6230,0))))</f>
        <v/>
      </c>
      <c r="U1906" s="239"/>
      <c r="V1906" s="269" t="e">
        <f>IF(C1906="",NA(),MATCH($B1906&amp;$C1906,'Smelter Look-up'!$J:$J,0))</f>
        <v>#N/A</v>
      </c>
      <c r="W1906" s="270"/>
      <c r="X1906" s="270">
        <f t="shared" ca="1" si="91"/>
        <v>0</v>
      </c>
      <c r="Y1906" s="270"/>
      <c r="Z1906" s="270"/>
      <c r="AB1906" s="272" t="str">
        <f t="shared" si="92"/>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0"/>
        <v/>
      </c>
      <c r="T1907" s="224" t="str">
        <f ca="1">IF(B1907="","",IF(ISERROR(MATCH($J1907,SorP!$B$1:$B$6230,0)),"",INDIRECT("'SorP'!$A$"&amp;MATCH($J1907,SorP!$B$1:$B$6230,0))))</f>
        <v/>
      </c>
      <c r="U1907" s="239"/>
      <c r="V1907" s="269" t="e">
        <f>IF(C1907="",NA(),MATCH($B1907&amp;$C1907,'Smelter Look-up'!$J:$J,0))</f>
        <v>#N/A</v>
      </c>
      <c r="W1907" s="270"/>
      <c r="X1907" s="270">
        <f t="shared" ca="1" si="91"/>
        <v>0</v>
      </c>
      <c r="Y1907" s="270"/>
      <c r="Z1907" s="270"/>
      <c r="AB1907" s="272" t="str">
        <f t="shared" si="92"/>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0"/>
        <v/>
      </c>
      <c r="T1908" s="224" t="str">
        <f ca="1">IF(B1908="","",IF(ISERROR(MATCH($J1908,SorP!$B$1:$B$6230,0)),"",INDIRECT("'SorP'!$A$"&amp;MATCH($J1908,SorP!$B$1:$B$6230,0))))</f>
        <v/>
      </c>
      <c r="U1908" s="239"/>
      <c r="V1908" s="269" t="e">
        <f>IF(C1908="",NA(),MATCH($B1908&amp;$C1908,'Smelter Look-up'!$J:$J,0))</f>
        <v>#N/A</v>
      </c>
      <c r="W1908" s="270"/>
      <c r="X1908" s="270">
        <f t="shared" ca="1" si="91"/>
        <v>0</v>
      </c>
      <c r="Y1908" s="270"/>
      <c r="Z1908" s="270"/>
      <c r="AB1908" s="272" t="str">
        <f t="shared" si="92"/>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0"/>
        <v/>
      </c>
      <c r="T1909" s="224" t="str">
        <f ca="1">IF(B1909="","",IF(ISERROR(MATCH($J1909,SorP!$B$1:$B$6230,0)),"",INDIRECT("'SorP'!$A$"&amp;MATCH($J1909,SorP!$B$1:$B$6230,0))))</f>
        <v/>
      </c>
      <c r="U1909" s="239"/>
      <c r="V1909" s="269" t="e">
        <f>IF(C1909="",NA(),MATCH($B1909&amp;$C1909,'Smelter Look-up'!$J:$J,0))</f>
        <v>#N/A</v>
      </c>
      <c r="W1909" s="270"/>
      <c r="X1909" s="270">
        <f t="shared" ca="1" si="91"/>
        <v>0</v>
      </c>
      <c r="Y1909" s="270"/>
      <c r="Z1909" s="270"/>
      <c r="AB1909" s="272" t="str">
        <f t="shared" si="92"/>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0"/>
        <v/>
      </c>
      <c r="T1910" s="224" t="str">
        <f ca="1">IF(B1910="","",IF(ISERROR(MATCH($J1910,SorP!$B$1:$B$6230,0)),"",INDIRECT("'SorP'!$A$"&amp;MATCH($J1910,SorP!$B$1:$B$6230,0))))</f>
        <v/>
      </c>
      <c r="U1910" s="239"/>
      <c r="V1910" s="269" t="e">
        <f>IF(C1910="",NA(),MATCH($B1910&amp;$C1910,'Smelter Look-up'!$J:$J,0))</f>
        <v>#N/A</v>
      </c>
      <c r="W1910" s="270"/>
      <c r="X1910" s="270">
        <f t="shared" ca="1" si="91"/>
        <v>0</v>
      </c>
      <c r="Y1910" s="270"/>
      <c r="Z1910" s="270"/>
      <c r="AB1910" s="272" t="str">
        <f t="shared" si="92"/>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0"/>
        <v/>
      </c>
      <c r="T1911" s="224" t="str">
        <f ca="1">IF(B1911="","",IF(ISERROR(MATCH($J1911,SorP!$B$1:$B$6230,0)),"",INDIRECT("'SorP'!$A$"&amp;MATCH($J1911,SorP!$B$1:$B$6230,0))))</f>
        <v/>
      </c>
      <c r="U1911" s="239"/>
      <c r="V1911" s="269" t="e">
        <f>IF(C1911="",NA(),MATCH($B1911&amp;$C1911,'Smelter Look-up'!$J:$J,0))</f>
        <v>#N/A</v>
      </c>
      <c r="W1911" s="270"/>
      <c r="X1911" s="270">
        <f t="shared" ca="1" si="91"/>
        <v>0</v>
      </c>
      <c r="Y1911" s="270"/>
      <c r="Z1911" s="270"/>
      <c r="AB1911" s="272" t="str">
        <f t="shared" si="92"/>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0"/>
        <v/>
      </c>
      <c r="T1912" s="224" t="str">
        <f ca="1">IF(B1912="","",IF(ISERROR(MATCH($J1912,SorP!$B$1:$B$6230,0)),"",INDIRECT("'SorP'!$A$"&amp;MATCH($J1912,SorP!$B$1:$B$6230,0))))</f>
        <v/>
      </c>
      <c r="U1912" s="239"/>
      <c r="V1912" s="269" t="e">
        <f>IF(C1912="",NA(),MATCH($B1912&amp;$C1912,'Smelter Look-up'!$J:$J,0))</f>
        <v>#N/A</v>
      </c>
      <c r="W1912" s="270"/>
      <c r="X1912" s="270">
        <f t="shared" ca="1" si="91"/>
        <v>0</v>
      </c>
      <c r="Y1912" s="270"/>
      <c r="Z1912" s="270"/>
      <c r="AB1912" s="272" t="str">
        <f t="shared" si="92"/>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0"/>
        <v/>
      </c>
      <c r="T1913" s="224" t="str">
        <f ca="1">IF(B1913="","",IF(ISERROR(MATCH($J1913,SorP!$B$1:$B$6230,0)),"",INDIRECT("'SorP'!$A$"&amp;MATCH($J1913,SorP!$B$1:$B$6230,0))))</f>
        <v/>
      </c>
      <c r="U1913" s="239"/>
      <c r="V1913" s="269" t="e">
        <f>IF(C1913="",NA(),MATCH($B1913&amp;$C1913,'Smelter Look-up'!$J:$J,0))</f>
        <v>#N/A</v>
      </c>
      <c r="W1913" s="270"/>
      <c r="X1913" s="270">
        <f t="shared" ca="1" si="91"/>
        <v>0</v>
      </c>
      <c r="Y1913" s="270"/>
      <c r="Z1913" s="270"/>
      <c r="AB1913" s="272" t="str">
        <f t="shared" si="92"/>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0"/>
        <v/>
      </c>
      <c r="T1914" s="224" t="str">
        <f ca="1">IF(B1914="","",IF(ISERROR(MATCH($J1914,SorP!$B$1:$B$6230,0)),"",INDIRECT("'SorP'!$A$"&amp;MATCH($J1914,SorP!$B$1:$B$6230,0))))</f>
        <v/>
      </c>
      <c r="U1914" s="239"/>
      <c r="V1914" s="269" t="e">
        <f>IF(C1914="",NA(),MATCH($B1914&amp;$C1914,'Smelter Look-up'!$J:$J,0))</f>
        <v>#N/A</v>
      </c>
      <c r="W1914" s="270"/>
      <c r="X1914" s="270">
        <f t="shared" ca="1" si="91"/>
        <v>0</v>
      </c>
      <c r="Y1914" s="270"/>
      <c r="Z1914" s="270"/>
      <c r="AB1914" s="272" t="str">
        <f t="shared" si="92"/>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3">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4">IF(AND(C1915="Smelter not listed",OR(LEN(D1915)=0,LEN(E1915)=0)),1,0)</f>
        <v>0</v>
      </c>
      <c r="Y1915" s="270"/>
      <c r="Z1915" s="270"/>
      <c r="AB1915" s="272" t="str">
        <f t="shared" ref="AB1915:AB1978" si="95">B1915&amp;C1915</f>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3"/>
        <v/>
      </c>
      <c r="T1964" s="224" t="str">
        <f ca="1">IF(B1964="","",IF(ISERROR(MATCH($J1964,SorP!$B$1:$B$6230,0)),"",INDIRECT("'SorP'!$A$"&amp;MATCH($J1964,SorP!$B$1:$B$6230,0))))</f>
        <v/>
      </c>
      <c r="U1964" s="239"/>
      <c r="V1964" s="269" t="e">
        <f>IF(C1964="",NA(),MATCH($B1964&amp;$C1964,'Smelter Look-up'!$J:$J,0))</f>
        <v>#N/A</v>
      </c>
      <c r="W1964" s="270"/>
      <c r="X1964" s="270">
        <f t="shared" ca="1" si="94"/>
        <v>0</v>
      </c>
      <c r="Y1964" s="270"/>
      <c r="Z1964" s="270"/>
      <c r="AB1964" s="272" t="str">
        <f t="shared" si="95"/>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3"/>
        <v/>
      </c>
      <c r="T1965" s="224" t="str">
        <f ca="1">IF(B1965="","",IF(ISERROR(MATCH($J1965,SorP!$B$1:$B$6230,0)),"",INDIRECT("'SorP'!$A$"&amp;MATCH($J1965,SorP!$B$1:$B$6230,0))))</f>
        <v/>
      </c>
      <c r="U1965" s="239"/>
      <c r="V1965" s="269" t="e">
        <f>IF(C1965="",NA(),MATCH($B1965&amp;$C1965,'Smelter Look-up'!$J:$J,0))</f>
        <v>#N/A</v>
      </c>
      <c r="W1965" s="270"/>
      <c r="X1965" s="270">
        <f t="shared" ca="1" si="94"/>
        <v>0</v>
      </c>
      <c r="Y1965" s="270"/>
      <c r="Z1965" s="270"/>
      <c r="AB1965" s="272" t="str">
        <f t="shared" si="95"/>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3"/>
        <v/>
      </c>
      <c r="T1966" s="224" t="str">
        <f ca="1">IF(B1966="","",IF(ISERROR(MATCH($J1966,SorP!$B$1:$B$6230,0)),"",INDIRECT("'SorP'!$A$"&amp;MATCH($J1966,SorP!$B$1:$B$6230,0))))</f>
        <v/>
      </c>
      <c r="U1966" s="239"/>
      <c r="V1966" s="269" t="e">
        <f>IF(C1966="",NA(),MATCH($B1966&amp;$C1966,'Smelter Look-up'!$J:$J,0))</f>
        <v>#N/A</v>
      </c>
      <c r="W1966" s="270"/>
      <c r="X1966" s="270">
        <f t="shared" ca="1" si="94"/>
        <v>0</v>
      </c>
      <c r="Y1966" s="270"/>
      <c r="Z1966" s="270"/>
      <c r="AB1966" s="272" t="str">
        <f t="shared" si="95"/>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3"/>
        <v/>
      </c>
      <c r="T1967" s="224" t="str">
        <f ca="1">IF(B1967="","",IF(ISERROR(MATCH($J1967,SorP!$B$1:$B$6230,0)),"",INDIRECT("'SorP'!$A$"&amp;MATCH($J1967,SorP!$B$1:$B$6230,0))))</f>
        <v/>
      </c>
      <c r="U1967" s="239"/>
      <c r="V1967" s="269" t="e">
        <f>IF(C1967="",NA(),MATCH($B1967&amp;$C1967,'Smelter Look-up'!$J:$J,0))</f>
        <v>#N/A</v>
      </c>
      <c r="W1967" s="270"/>
      <c r="X1967" s="270">
        <f t="shared" ca="1" si="94"/>
        <v>0</v>
      </c>
      <c r="Y1967" s="270"/>
      <c r="Z1967" s="270"/>
      <c r="AB1967" s="272" t="str">
        <f t="shared" si="95"/>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3"/>
        <v/>
      </c>
      <c r="T1968" s="224" t="str">
        <f ca="1">IF(B1968="","",IF(ISERROR(MATCH($J1968,SorP!$B$1:$B$6230,0)),"",INDIRECT("'SorP'!$A$"&amp;MATCH($J1968,SorP!$B$1:$B$6230,0))))</f>
        <v/>
      </c>
      <c r="U1968" s="239"/>
      <c r="V1968" s="269" t="e">
        <f>IF(C1968="",NA(),MATCH($B1968&amp;$C1968,'Smelter Look-up'!$J:$J,0))</f>
        <v>#N/A</v>
      </c>
      <c r="W1968" s="270"/>
      <c r="X1968" s="270">
        <f t="shared" ca="1" si="94"/>
        <v>0</v>
      </c>
      <c r="Y1968" s="270"/>
      <c r="Z1968" s="270"/>
      <c r="AB1968" s="272" t="str">
        <f t="shared" si="95"/>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3"/>
        <v/>
      </c>
      <c r="T1969" s="224" t="str">
        <f ca="1">IF(B1969="","",IF(ISERROR(MATCH($J1969,SorP!$B$1:$B$6230,0)),"",INDIRECT("'SorP'!$A$"&amp;MATCH($J1969,SorP!$B$1:$B$6230,0))))</f>
        <v/>
      </c>
      <c r="U1969" s="239"/>
      <c r="V1969" s="269" t="e">
        <f>IF(C1969="",NA(),MATCH($B1969&amp;$C1969,'Smelter Look-up'!$J:$J,0))</f>
        <v>#N/A</v>
      </c>
      <c r="W1969" s="270"/>
      <c r="X1969" s="270">
        <f t="shared" ca="1" si="94"/>
        <v>0</v>
      </c>
      <c r="Y1969" s="270"/>
      <c r="Z1969" s="270"/>
      <c r="AB1969" s="272" t="str">
        <f t="shared" si="95"/>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3"/>
        <v/>
      </c>
      <c r="T1970" s="224" t="str">
        <f ca="1">IF(B1970="","",IF(ISERROR(MATCH($J1970,SorP!$B$1:$B$6230,0)),"",INDIRECT("'SorP'!$A$"&amp;MATCH($J1970,SorP!$B$1:$B$6230,0))))</f>
        <v/>
      </c>
      <c r="U1970" s="239"/>
      <c r="V1970" s="269" t="e">
        <f>IF(C1970="",NA(),MATCH($B1970&amp;$C1970,'Smelter Look-up'!$J:$J,0))</f>
        <v>#N/A</v>
      </c>
      <c r="W1970" s="270"/>
      <c r="X1970" s="270">
        <f t="shared" ca="1" si="94"/>
        <v>0</v>
      </c>
      <c r="Y1970" s="270"/>
      <c r="Z1970" s="270"/>
      <c r="AB1970" s="272" t="str">
        <f t="shared" si="95"/>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3"/>
        <v/>
      </c>
      <c r="T1971" s="224" t="str">
        <f ca="1">IF(B1971="","",IF(ISERROR(MATCH($J1971,SorP!$B$1:$B$6230,0)),"",INDIRECT("'SorP'!$A$"&amp;MATCH($J1971,SorP!$B$1:$B$6230,0))))</f>
        <v/>
      </c>
      <c r="U1971" s="239"/>
      <c r="V1971" s="269" t="e">
        <f>IF(C1971="",NA(),MATCH($B1971&amp;$C1971,'Smelter Look-up'!$J:$J,0))</f>
        <v>#N/A</v>
      </c>
      <c r="W1971" s="270"/>
      <c r="X1971" s="270">
        <f t="shared" ca="1" si="94"/>
        <v>0</v>
      </c>
      <c r="Y1971" s="270"/>
      <c r="Z1971" s="270"/>
      <c r="AB1971" s="272" t="str">
        <f t="shared" si="95"/>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3"/>
        <v/>
      </c>
      <c r="T1972" s="224" t="str">
        <f ca="1">IF(B1972="","",IF(ISERROR(MATCH($J1972,SorP!$B$1:$B$6230,0)),"",INDIRECT("'SorP'!$A$"&amp;MATCH($J1972,SorP!$B$1:$B$6230,0))))</f>
        <v/>
      </c>
      <c r="U1972" s="239"/>
      <c r="V1972" s="269" t="e">
        <f>IF(C1972="",NA(),MATCH($B1972&amp;$C1972,'Smelter Look-up'!$J:$J,0))</f>
        <v>#N/A</v>
      </c>
      <c r="W1972" s="270"/>
      <c r="X1972" s="270">
        <f t="shared" ca="1" si="94"/>
        <v>0</v>
      </c>
      <c r="Y1972" s="270"/>
      <c r="Z1972" s="270"/>
      <c r="AB1972" s="272" t="str">
        <f t="shared" si="95"/>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3"/>
        <v/>
      </c>
      <c r="T1973" s="224" t="str">
        <f ca="1">IF(B1973="","",IF(ISERROR(MATCH($J1973,SorP!$B$1:$B$6230,0)),"",INDIRECT("'SorP'!$A$"&amp;MATCH($J1973,SorP!$B$1:$B$6230,0))))</f>
        <v/>
      </c>
      <c r="U1973" s="239"/>
      <c r="V1973" s="269" t="e">
        <f>IF(C1973="",NA(),MATCH($B1973&amp;$C1973,'Smelter Look-up'!$J:$J,0))</f>
        <v>#N/A</v>
      </c>
      <c r="W1973" s="270"/>
      <c r="X1973" s="270">
        <f t="shared" ca="1" si="94"/>
        <v>0</v>
      </c>
      <c r="Y1973" s="270"/>
      <c r="Z1973" s="270"/>
      <c r="AB1973" s="272" t="str">
        <f t="shared" si="95"/>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3"/>
        <v/>
      </c>
      <c r="T1974" s="224" t="str">
        <f ca="1">IF(B1974="","",IF(ISERROR(MATCH($J1974,SorP!$B$1:$B$6230,0)),"",INDIRECT("'SorP'!$A$"&amp;MATCH($J1974,SorP!$B$1:$B$6230,0))))</f>
        <v/>
      </c>
      <c r="U1974" s="239"/>
      <c r="V1974" s="269" t="e">
        <f>IF(C1974="",NA(),MATCH($B1974&amp;$C1974,'Smelter Look-up'!$J:$J,0))</f>
        <v>#N/A</v>
      </c>
      <c r="W1974" s="270"/>
      <c r="X1974" s="270">
        <f t="shared" ca="1" si="94"/>
        <v>0</v>
      </c>
      <c r="Y1974" s="270"/>
      <c r="Z1974" s="270"/>
      <c r="AB1974" s="272" t="str">
        <f t="shared" si="95"/>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3"/>
        <v/>
      </c>
      <c r="T1975" s="224" t="str">
        <f ca="1">IF(B1975="","",IF(ISERROR(MATCH($J1975,SorP!$B$1:$B$6230,0)),"",INDIRECT("'SorP'!$A$"&amp;MATCH($J1975,SorP!$B$1:$B$6230,0))))</f>
        <v/>
      </c>
      <c r="U1975" s="239"/>
      <c r="V1975" s="269" t="e">
        <f>IF(C1975="",NA(),MATCH($B1975&amp;$C1975,'Smelter Look-up'!$J:$J,0))</f>
        <v>#N/A</v>
      </c>
      <c r="W1975" s="270"/>
      <c r="X1975" s="270">
        <f t="shared" ca="1" si="94"/>
        <v>0</v>
      </c>
      <c r="Y1975" s="270"/>
      <c r="Z1975" s="270"/>
      <c r="AB1975" s="272" t="str">
        <f t="shared" si="95"/>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3"/>
        <v/>
      </c>
      <c r="T1976" s="224" t="str">
        <f ca="1">IF(B1976="","",IF(ISERROR(MATCH($J1976,SorP!$B$1:$B$6230,0)),"",INDIRECT("'SorP'!$A$"&amp;MATCH($J1976,SorP!$B$1:$B$6230,0))))</f>
        <v/>
      </c>
      <c r="U1976" s="239"/>
      <c r="V1976" s="269" t="e">
        <f>IF(C1976="",NA(),MATCH($B1976&amp;$C1976,'Smelter Look-up'!$J:$J,0))</f>
        <v>#N/A</v>
      </c>
      <c r="W1976" s="270"/>
      <c r="X1976" s="270">
        <f t="shared" ca="1" si="94"/>
        <v>0</v>
      </c>
      <c r="Y1976" s="270"/>
      <c r="Z1976" s="270"/>
      <c r="AB1976" s="272" t="str">
        <f t="shared" si="95"/>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3"/>
        <v/>
      </c>
      <c r="T1977" s="224" t="str">
        <f ca="1">IF(B1977="","",IF(ISERROR(MATCH($J1977,SorP!$B$1:$B$6230,0)),"",INDIRECT("'SorP'!$A$"&amp;MATCH($J1977,SorP!$B$1:$B$6230,0))))</f>
        <v/>
      </c>
      <c r="U1977" s="239"/>
      <c r="V1977" s="269" t="e">
        <f>IF(C1977="",NA(),MATCH($B1977&amp;$C1977,'Smelter Look-up'!$J:$J,0))</f>
        <v>#N/A</v>
      </c>
      <c r="W1977" s="270"/>
      <c r="X1977" s="270">
        <f t="shared" ca="1" si="94"/>
        <v>0</v>
      </c>
      <c r="Y1977" s="270"/>
      <c r="Z1977" s="270"/>
      <c r="AB1977" s="272" t="str">
        <f t="shared" si="95"/>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3"/>
        <v/>
      </c>
      <c r="T1978" s="224" t="str">
        <f ca="1">IF(B1978="","",IF(ISERROR(MATCH($J1978,SorP!$B$1:$B$6230,0)),"",INDIRECT("'SorP'!$A$"&amp;MATCH($J1978,SorP!$B$1:$B$6230,0))))</f>
        <v/>
      </c>
      <c r="U1978" s="239"/>
      <c r="V1978" s="269" t="e">
        <f>IF(C1978="",NA(),MATCH($B1978&amp;$C1978,'Smelter Look-up'!$J:$J,0))</f>
        <v>#N/A</v>
      </c>
      <c r="W1978" s="270"/>
      <c r="X1978" s="270">
        <f t="shared" ca="1" si="94"/>
        <v>0</v>
      </c>
      <c r="Y1978" s="270"/>
      <c r="Z1978" s="270"/>
      <c r="AB1978" s="272" t="str">
        <f t="shared" si="95"/>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6">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97">IF(AND(C1979="Smelter not listed",OR(LEN(D1979)=0,LEN(E1979)=0)),1,0)</f>
        <v>0</v>
      </c>
      <c r="Y1979" s="270"/>
      <c r="Z1979" s="270"/>
      <c r="AB1979" s="272" t="str">
        <f t="shared" ref="AB1979:AB2042" si="98">B1979&amp;C1979</f>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6"/>
        <v/>
      </c>
      <c r="T2028" s="224" t="str">
        <f ca="1">IF(B2028="","",IF(ISERROR(MATCH($J2028,SorP!$B$1:$B$6230,0)),"",INDIRECT("'SorP'!$A$"&amp;MATCH($J2028,SorP!$B$1:$B$6230,0))))</f>
        <v/>
      </c>
      <c r="U2028" s="239"/>
      <c r="V2028" s="269" t="e">
        <f>IF(C2028="",NA(),MATCH($B2028&amp;$C2028,'Smelter Look-up'!$J:$J,0))</f>
        <v>#N/A</v>
      </c>
      <c r="W2028" s="270"/>
      <c r="X2028" s="270">
        <f t="shared" ca="1" si="97"/>
        <v>0</v>
      </c>
      <c r="Y2028" s="270"/>
      <c r="Z2028" s="270"/>
      <c r="AB2028" s="272" t="str">
        <f t="shared" si="98"/>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6"/>
        <v/>
      </c>
      <c r="T2029" s="224" t="str">
        <f ca="1">IF(B2029="","",IF(ISERROR(MATCH($J2029,SorP!$B$1:$B$6230,0)),"",INDIRECT("'SorP'!$A$"&amp;MATCH($J2029,SorP!$B$1:$B$6230,0))))</f>
        <v/>
      </c>
      <c r="U2029" s="239"/>
      <c r="V2029" s="269" t="e">
        <f>IF(C2029="",NA(),MATCH($B2029&amp;$C2029,'Smelter Look-up'!$J:$J,0))</f>
        <v>#N/A</v>
      </c>
      <c r="W2029" s="270"/>
      <c r="X2029" s="270">
        <f t="shared" ca="1" si="97"/>
        <v>0</v>
      </c>
      <c r="Y2029" s="270"/>
      <c r="Z2029" s="270"/>
      <c r="AB2029" s="272" t="str">
        <f t="shared" si="98"/>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6"/>
        <v/>
      </c>
      <c r="T2030" s="224" t="str">
        <f ca="1">IF(B2030="","",IF(ISERROR(MATCH($J2030,SorP!$B$1:$B$6230,0)),"",INDIRECT("'SorP'!$A$"&amp;MATCH($J2030,SorP!$B$1:$B$6230,0))))</f>
        <v/>
      </c>
      <c r="U2030" s="239"/>
      <c r="V2030" s="269" t="e">
        <f>IF(C2030="",NA(),MATCH($B2030&amp;$C2030,'Smelter Look-up'!$J:$J,0))</f>
        <v>#N/A</v>
      </c>
      <c r="W2030" s="270"/>
      <c r="X2030" s="270">
        <f t="shared" ca="1" si="97"/>
        <v>0</v>
      </c>
      <c r="Y2030" s="270"/>
      <c r="Z2030" s="270"/>
      <c r="AB2030" s="272" t="str">
        <f t="shared" si="98"/>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6"/>
        <v/>
      </c>
      <c r="T2031" s="224" t="str">
        <f ca="1">IF(B2031="","",IF(ISERROR(MATCH($J2031,SorP!$B$1:$B$6230,0)),"",INDIRECT("'SorP'!$A$"&amp;MATCH($J2031,SorP!$B$1:$B$6230,0))))</f>
        <v/>
      </c>
      <c r="U2031" s="239"/>
      <c r="V2031" s="269" t="e">
        <f>IF(C2031="",NA(),MATCH($B2031&amp;$C2031,'Smelter Look-up'!$J:$J,0))</f>
        <v>#N/A</v>
      </c>
      <c r="W2031" s="270"/>
      <c r="X2031" s="270">
        <f t="shared" ca="1" si="97"/>
        <v>0</v>
      </c>
      <c r="Y2031" s="270"/>
      <c r="Z2031" s="270"/>
      <c r="AB2031" s="272" t="str">
        <f t="shared" si="98"/>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6"/>
        <v/>
      </c>
      <c r="T2032" s="224" t="str">
        <f ca="1">IF(B2032="","",IF(ISERROR(MATCH($J2032,SorP!$B$1:$B$6230,0)),"",INDIRECT("'SorP'!$A$"&amp;MATCH($J2032,SorP!$B$1:$B$6230,0))))</f>
        <v/>
      </c>
      <c r="U2032" s="239"/>
      <c r="V2032" s="269" t="e">
        <f>IF(C2032="",NA(),MATCH($B2032&amp;$C2032,'Smelter Look-up'!$J:$J,0))</f>
        <v>#N/A</v>
      </c>
      <c r="W2032" s="270"/>
      <c r="X2032" s="270">
        <f t="shared" ca="1" si="97"/>
        <v>0</v>
      </c>
      <c r="Y2032" s="270"/>
      <c r="Z2032" s="270"/>
      <c r="AB2032" s="272" t="str">
        <f t="shared" si="98"/>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6"/>
        <v/>
      </c>
      <c r="T2033" s="224" t="str">
        <f ca="1">IF(B2033="","",IF(ISERROR(MATCH($J2033,SorP!$B$1:$B$6230,0)),"",INDIRECT("'SorP'!$A$"&amp;MATCH($J2033,SorP!$B$1:$B$6230,0))))</f>
        <v/>
      </c>
      <c r="U2033" s="239"/>
      <c r="V2033" s="269" t="e">
        <f>IF(C2033="",NA(),MATCH($B2033&amp;$C2033,'Smelter Look-up'!$J:$J,0))</f>
        <v>#N/A</v>
      </c>
      <c r="W2033" s="270"/>
      <c r="X2033" s="270">
        <f t="shared" ca="1" si="97"/>
        <v>0</v>
      </c>
      <c r="Y2033" s="270"/>
      <c r="Z2033" s="270"/>
      <c r="AB2033" s="272" t="str">
        <f t="shared" si="98"/>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6"/>
        <v/>
      </c>
      <c r="T2034" s="224" t="str">
        <f ca="1">IF(B2034="","",IF(ISERROR(MATCH($J2034,SorP!$B$1:$B$6230,0)),"",INDIRECT("'SorP'!$A$"&amp;MATCH($J2034,SorP!$B$1:$B$6230,0))))</f>
        <v/>
      </c>
      <c r="U2034" s="239"/>
      <c r="V2034" s="269" t="e">
        <f>IF(C2034="",NA(),MATCH($B2034&amp;$C2034,'Smelter Look-up'!$J:$J,0))</f>
        <v>#N/A</v>
      </c>
      <c r="W2034" s="270"/>
      <c r="X2034" s="270">
        <f t="shared" ca="1" si="97"/>
        <v>0</v>
      </c>
      <c r="Y2034" s="270"/>
      <c r="Z2034" s="270"/>
      <c r="AB2034" s="272" t="str">
        <f t="shared" si="98"/>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6"/>
        <v/>
      </c>
      <c r="T2035" s="224" t="str">
        <f ca="1">IF(B2035="","",IF(ISERROR(MATCH($J2035,SorP!$B$1:$B$6230,0)),"",INDIRECT("'SorP'!$A$"&amp;MATCH($J2035,SorP!$B$1:$B$6230,0))))</f>
        <v/>
      </c>
      <c r="U2035" s="239"/>
      <c r="V2035" s="269" t="e">
        <f>IF(C2035="",NA(),MATCH($B2035&amp;$C2035,'Smelter Look-up'!$J:$J,0))</f>
        <v>#N/A</v>
      </c>
      <c r="W2035" s="270"/>
      <c r="X2035" s="270">
        <f t="shared" ca="1" si="97"/>
        <v>0</v>
      </c>
      <c r="Y2035" s="270"/>
      <c r="Z2035" s="270"/>
      <c r="AB2035" s="272" t="str">
        <f t="shared" si="98"/>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6"/>
        <v/>
      </c>
      <c r="T2036" s="224" t="str">
        <f ca="1">IF(B2036="","",IF(ISERROR(MATCH($J2036,SorP!$B$1:$B$6230,0)),"",INDIRECT("'SorP'!$A$"&amp;MATCH($J2036,SorP!$B$1:$B$6230,0))))</f>
        <v/>
      </c>
      <c r="U2036" s="239"/>
      <c r="V2036" s="269" t="e">
        <f>IF(C2036="",NA(),MATCH($B2036&amp;$C2036,'Smelter Look-up'!$J:$J,0))</f>
        <v>#N/A</v>
      </c>
      <c r="W2036" s="270"/>
      <c r="X2036" s="270">
        <f t="shared" ca="1" si="97"/>
        <v>0</v>
      </c>
      <c r="Y2036" s="270"/>
      <c r="Z2036" s="270"/>
      <c r="AB2036" s="272" t="str">
        <f t="shared" si="98"/>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6"/>
        <v/>
      </c>
      <c r="T2037" s="224" t="str">
        <f ca="1">IF(B2037="","",IF(ISERROR(MATCH($J2037,SorP!$B$1:$B$6230,0)),"",INDIRECT("'SorP'!$A$"&amp;MATCH($J2037,SorP!$B$1:$B$6230,0))))</f>
        <v/>
      </c>
      <c r="U2037" s="239"/>
      <c r="V2037" s="269" t="e">
        <f>IF(C2037="",NA(),MATCH($B2037&amp;$C2037,'Smelter Look-up'!$J:$J,0))</f>
        <v>#N/A</v>
      </c>
      <c r="W2037" s="270"/>
      <c r="X2037" s="270">
        <f t="shared" ca="1" si="97"/>
        <v>0</v>
      </c>
      <c r="Y2037" s="270"/>
      <c r="Z2037" s="270"/>
      <c r="AB2037" s="272" t="str">
        <f t="shared" si="98"/>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6"/>
        <v/>
      </c>
      <c r="T2038" s="224" t="str">
        <f ca="1">IF(B2038="","",IF(ISERROR(MATCH($J2038,SorP!$B$1:$B$6230,0)),"",INDIRECT("'SorP'!$A$"&amp;MATCH($J2038,SorP!$B$1:$B$6230,0))))</f>
        <v/>
      </c>
      <c r="U2038" s="239"/>
      <c r="V2038" s="269" t="e">
        <f>IF(C2038="",NA(),MATCH($B2038&amp;$C2038,'Smelter Look-up'!$J:$J,0))</f>
        <v>#N/A</v>
      </c>
      <c r="W2038" s="270"/>
      <c r="X2038" s="270">
        <f t="shared" ca="1" si="97"/>
        <v>0</v>
      </c>
      <c r="Y2038" s="270"/>
      <c r="Z2038" s="270"/>
      <c r="AB2038" s="272" t="str">
        <f t="shared" si="98"/>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6"/>
        <v/>
      </c>
      <c r="T2039" s="224" t="str">
        <f ca="1">IF(B2039="","",IF(ISERROR(MATCH($J2039,SorP!$B$1:$B$6230,0)),"",INDIRECT("'SorP'!$A$"&amp;MATCH($J2039,SorP!$B$1:$B$6230,0))))</f>
        <v/>
      </c>
      <c r="U2039" s="239"/>
      <c r="V2039" s="269" t="e">
        <f>IF(C2039="",NA(),MATCH($B2039&amp;$C2039,'Smelter Look-up'!$J:$J,0))</f>
        <v>#N/A</v>
      </c>
      <c r="W2039" s="270"/>
      <c r="X2039" s="270">
        <f t="shared" ca="1" si="97"/>
        <v>0</v>
      </c>
      <c r="Y2039" s="270"/>
      <c r="Z2039" s="270"/>
      <c r="AB2039" s="272" t="str">
        <f t="shared" si="98"/>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6"/>
        <v/>
      </c>
      <c r="T2040" s="224" t="str">
        <f ca="1">IF(B2040="","",IF(ISERROR(MATCH($J2040,SorP!$B$1:$B$6230,0)),"",INDIRECT("'SorP'!$A$"&amp;MATCH($J2040,SorP!$B$1:$B$6230,0))))</f>
        <v/>
      </c>
      <c r="U2040" s="239"/>
      <c r="V2040" s="269" t="e">
        <f>IF(C2040="",NA(),MATCH($B2040&amp;$C2040,'Smelter Look-up'!$J:$J,0))</f>
        <v>#N/A</v>
      </c>
      <c r="W2040" s="270"/>
      <c r="X2040" s="270">
        <f t="shared" ca="1" si="97"/>
        <v>0</v>
      </c>
      <c r="Y2040" s="270"/>
      <c r="Z2040" s="270"/>
      <c r="AB2040" s="272" t="str">
        <f t="shared" si="98"/>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6"/>
        <v/>
      </c>
      <c r="T2041" s="224" t="str">
        <f ca="1">IF(B2041="","",IF(ISERROR(MATCH($J2041,SorP!$B$1:$B$6230,0)),"",INDIRECT("'SorP'!$A$"&amp;MATCH($J2041,SorP!$B$1:$B$6230,0))))</f>
        <v/>
      </c>
      <c r="U2041" s="239"/>
      <c r="V2041" s="269" t="e">
        <f>IF(C2041="",NA(),MATCH($B2041&amp;$C2041,'Smelter Look-up'!$J:$J,0))</f>
        <v>#N/A</v>
      </c>
      <c r="W2041" s="270"/>
      <c r="X2041" s="270">
        <f t="shared" ca="1" si="97"/>
        <v>0</v>
      </c>
      <c r="Y2041" s="270"/>
      <c r="Z2041" s="270"/>
      <c r="AB2041" s="272" t="str">
        <f t="shared" si="98"/>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6"/>
        <v/>
      </c>
      <c r="T2042" s="224" t="str">
        <f ca="1">IF(B2042="","",IF(ISERROR(MATCH($J2042,SorP!$B$1:$B$6230,0)),"",INDIRECT("'SorP'!$A$"&amp;MATCH($J2042,SorP!$B$1:$B$6230,0))))</f>
        <v/>
      </c>
      <c r="U2042" s="239"/>
      <c r="V2042" s="269" t="e">
        <f>IF(C2042="",NA(),MATCH($B2042&amp;$C2042,'Smelter Look-up'!$J:$J,0))</f>
        <v>#N/A</v>
      </c>
      <c r="W2042" s="270"/>
      <c r="X2042" s="270">
        <f t="shared" ca="1" si="97"/>
        <v>0</v>
      </c>
      <c r="Y2042" s="270"/>
      <c r="Z2042" s="270"/>
      <c r="AB2042" s="272" t="str">
        <f t="shared" si="98"/>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99">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0">IF(AND(C2043="Smelter not listed",OR(LEN(D2043)=0,LEN(E2043)=0)),1,0)</f>
        <v>0</v>
      </c>
      <c r="Y2043" s="270"/>
      <c r="Z2043" s="270"/>
      <c r="AB2043" s="272" t="str">
        <f t="shared" ref="AB2043:AB2106" si="101">B2043&amp;C2043</f>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9"/>
        <v/>
      </c>
      <c r="T2092" s="224" t="str">
        <f ca="1">IF(B2092="","",IF(ISERROR(MATCH($J2092,SorP!$B$1:$B$6230,0)),"",INDIRECT("'SorP'!$A$"&amp;MATCH($J2092,SorP!$B$1:$B$6230,0))))</f>
        <v/>
      </c>
      <c r="U2092" s="239"/>
      <c r="V2092" s="269" t="e">
        <f>IF(C2092="",NA(),MATCH($B2092&amp;$C2092,'Smelter Look-up'!$J:$J,0))</f>
        <v>#N/A</v>
      </c>
      <c r="W2092" s="270"/>
      <c r="X2092" s="270">
        <f t="shared" ca="1" si="100"/>
        <v>0</v>
      </c>
      <c r="Y2092" s="270"/>
      <c r="Z2092" s="270"/>
      <c r="AB2092" s="272" t="str">
        <f t="shared" si="101"/>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9"/>
        <v/>
      </c>
      <c r="T2093" s="224" t="str">
        <f ca="1">IF(B2093="","",IF(ISERROR(MATCH($J2093,SorP!$B$1:$B$6230,0)),"",INDIRECT("'SorP'!$A$"&amp;MATCH($J2093,SorP!$B$1:$B$6230,0))))</f>
        <v/>
      </c>
      <c r="U2093" s="239"/>
      <c r="V2093" s="269" t="e">
        <f>IF(C2093="",NA(),MATCH($B2093&amp;$C2093,'Smelter Look-up'!$J:$J,0))</f>
        <v>#N/A</v>
      </c>
      <c r="W2093" s="270"/>
      <c r="X2093" s="270">
        <f t="shared" ca="1" si="100"/>
        <v>0</v>
      </c>
      <c r="Y2093" s="270"/>
      <c r="Z2093" s="270"/>
      <c r="AB2093" s="272" t="str">
        <f t="shared" si="101"/>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9"/>
        <v/>
      </c>
      <c r="T2094" s="224" t="str">
        <f ca="1">IF(B2094="","",IF(ISERROR(MATCH($J2094,SorP!$B$1:$B$6230,0)),"",INDIRECT("'SorP'!$A$"&amp;MATCH($J2094,SorP!$B$1:$B$6230,0))))</f>
        <v/>
      </c>
      <c r="U2094" s="239"/>
      <c r="V2094" s="269" t="e">
        <f>IF(C2094="",NA(),MATCH($B2094&amp;$C2094,'Smelter Look-up'!$J:$J,0))</f>
        <v>#N/A</v>
      </c>
      <c r="W2094" s="270"/>
      <c r="X2094" s="270">
        <f t="shared" ca="1" si="100"/>
        <v>0</v>
      </c>
      <c r="Y2094" s="270"/>
      <c r="Z2094" s="270"/>
      <c r="AB2094" s="272" t="str">
        <f t="shared" si="101"/>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9"/>
        <v/>
      </c>
      <c r="T2095" s="224" t="str">
        <f ca="1">IF(B2095="","",IF(ISERROR(MATCH($J2095,SorP!$B$1:$B$6230,0)),"",INDIRECT("'SorP'!$A$"&amp;MATCH($J2095,SorP!$B$1:$B$6230,0))))</f>
        <v/>
      </c>
      <c r="U2095" s="239"/>
      <c r="V2095" s="269" t="e">
        <f>IF(C2095="",NA(),MATCH($B2095&amp;$C2095,'Smelter Look-up'!$J:$J,0))</f>
        <v>#N/A</v>
      </c>
      <c r="W2095" s="270"/>
      <c r="X2095" s="270">
        <f t="shared" ca="1" si="100"/>
        <v>0</v>
      </c>
      <c r="Y2095" s="270"/>
      <c r="Z2095" s="270"/>
      <c r="AB2095" s="272" t="str">
        <f t="shared" si="101"/>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9"/>
        <v/>
      </c>
      <c r="T2096" s="224" t="str">
        <f ca="1">IF(B2096="","",IF(ISERROR(MATCH($J2096,SorP!$B$1:$B$6230,0)),"",INDIRECT("'SorP'!$A$"&amp;MATCH($J2096,SorP!$B$1:$B$6230,0))))</f>
        <v/>
      </c>
      <c r="U2096" s="239"/>
      <c r="V2096" s="269" t="e">
        <f>IF(C2096="",NA(),MATCH($B2096&amp;$C2096,'Smelter Look-up'!$J:$J,0))</f>
        <v>#N/A</v>
      </c>
      <c r="W2096" s="270"/>
      <c r="X2096" s="270">
        <f t="shared" ca="1" si="100"/>
        <v>0</v>
      </c>
      <c r="Y2096" s="270"/>
      <c r="Z2096" s="270"/>
      <c r="AB2096" s="272" t="str">
        <f t="shared" si="101"/>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9"/>
        <v/>
      </c>
      <c r="T2097" s="224" t="str">
        <f ca="1">IF(B2097="","",IF(ISERROR(MATCH($J2097,SorP!$B$1:$B$6230,0)),"",INDIRECT("'SorP'!$A$"&amp;MATCH($J2097,SorP!$B$1:$B$6230,0))))</f>
        <v/>
      </c>
      <c r="U2097" s="239"/>
      <c r="V2097" s="269" t="e">
        <f>IF(C2097="",NA(),MATCH($B2097&amp;$C2097,'Smelter Look-up'!$J:$J,0))</f>
        <v>#N/A</v>
      </c>
      <c r="W2097" s="270"/>
      <c r="X2097" s="270">
        <f t="shared" ca="1" si="100"/>
        <v>0</v>
      </c>
      <c r="Y2097" s="270"/>
      <c r="Z2097" s="270"/>
      <c r="AB2097" s="272" t="str">
        <f t="shared" si="101"/>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9"/>
        <v/>
      </c>
      <c r="T2098" s="224" t="str">
        <f ca="1">IF(B2098="","",IF(ISERROR(MATCH($J2098,SorP!$B$1:$B$6230,0)),"",INDIRECT("'SorP'!$A$"&amp;MATCH($J2098,SorP!$B$1:$B$6230,0))))</f>
        <v/>
      </c>
      <c r="U2098" s="239"/>
      <c r="V2098" s="269" t="e">
        <f>IF(C2098="",NA(),MATCH($B2098&amp;$C2098,'Smelter Look-up'!$J:$J,0))</f>
        <v>#N/A</v>
      </c>
      <c r="W2098" s="270"/>
      <c r="X2098" s="270">
        <f t="shared" ca="1" si="100"/>
        <v>0</v>
      </c>
      <c r="Y2098" s="270"/>
      <c r="Z2098" s="270"/>
      <c r="AB2098" s="272" t="str">
        <f t="shared" si="101"/>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9"/>
        <v/>
      </c>
      <c r="T2099" s="224" t="str">
        <f ca="1">IF(B2099="","",IF(ISERROR(MATCH($J2099,SorP!$B$1:$B$6230,0)),"",INDIRECT("'SorP'!$A$"&amp;MATCH($J2099,SorP!$B$1:$B$6230,0))))</f>
        <v/>
      </c>
      <c r="U2099" s="239"/>
      <c r="V2099" s="269" t="e">
        <f>IF(C2099="",NA(),MATCH($B2099&amp;$C2099,'Smelter Look-up'!$J:$J,0))</f>
        <v>#N/A</v>
      </c>
      <c r="W2099" s="270"/>
      <c r="X2099" s="270">
        <f t="shared" ca="1" si="100"/>
        <v>0</v>
      </c>
      <c r="Y2099" s="270"/>
      <c r="Z2099" s="270"/>
      <c r="AB2099" s="272" t="str">
        <f t="shared" si="101"/>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9"/>
        <v/>
      </c>
      <c r="T2100" s="224" t="str">
        <f ca="1">IF(B2100="","",IF(ISERROR(MATCH($J2100,SorP!$B$1:$B$6230,0)),"",INDIRECT("'SorP'!$A$"&amp;MATCH($J2100,SorP!$B$1:$B$6230,0))))</f>
        <v/>
      </c>
      <c r="U2100" s="239"/>
      <c r="V2100" s="269" t="e">
        <f>IF(C2100="",NA(),MATCH($B2100&amp;$C2100,'Smelter Look-up'!$J:$J,0))</f>
        <v>#N/A</v>
      </c>
      <c r="W2100" s="270"/>
      <c r="X2100" s="270">
        <f t="shared" ca="1" si="100"/>
        <v>0</v>
      </c>
      <c r="Y2100" s="270"/>
      <c r="Z2100" s="270"/>
      <c r="AB2100" s="272" t="str">
        <f t="shared" si="101"/>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99"/>
        <v/>
      </c>
      <c r="T2101" s="224" t="str">
        <f ca="1">IF(B2101="","",IF(ISERROR(MATCH($J2101,SorP!$B$1:$B$6230,0)),"",INDIRECT("'SorP'!$A$"&amp;MATCH($J2101,SorP!$B$1:$B$6230,0))))</f>
        <v/>
      </c>
      <c r="U2101" s="239"/>
      <c r="V2101" s="269" t="e">
        <f>IF(C2101="",NA(),MATCH($B2101&amp;$C2101,'Smelter Look-up'!$J:$J,0))</f>
        <v>#N/A</v>
      </c>
      <c r="W2101" s="270"/>
      <c r="X2101" s="270">
        <f t="shared" ca="1" si="100"/>
        <v>0</v>
      </c>
      <c r="Y2101" s="270"/>
      <c r="Z2101" s="270"/>
      <c r="AB2101" s="272" t="str">
        <f t="shared" si="101"/>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99"/>
        <v/>
      </c>
      <c r="T2102" s="224" t="str">
        <f ca="1">IF(B2102="","",IF(ISERROR(MATCH($J2102,SorP!$B$1:$B$6230,0)),"",INDIRECT("'SorP'!$A$"&amp;MATCH($J2102,SorP!$B$1:$B$6230,0))))</f>
        <v/>
      </c>
      <c r="U2102" s="239"/>
      <c r="V2102" s="269" t="e">
        <f>IF(C2102="",NA(),MATCH($B2102&amp;$C2102,'Smelter Look-up'!$J:$J,0))</f>
        <v>#N/A</v>
      </c>
      <c r="W2102" s="270"/>
      <c r="X2102" s="270">
        <f t="shared" ca="1" si="100"/>
        <v>0</v>
      </c>
      <c r="Y2102" s="270"/>
      <c r="Z2102" s="270"/>
      <c r="AB2102" s="272" t="str">
        <f t="shared" si="101"/>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99"/>
        <v/>
      </c>
      <c r="T2103" s="224" t="str">
        <f ca="1">IF(B2103="","",IF(ISERROR(MATCH($J2103,SorP!$B$1:$B$6230,0)),"",INDIRECT("'SorP'!$A$"&amp;MATCH($J2103,SorP!$B$1:$B$6230,0))))</f>
        <v/>
      </c>
      <c r="U2103" s="239"/>
      <c r="V2103" s="269" t="e">
        <f>IF(C2103="",NA(),MATCH($B2103&amp;$C2103,'Smelter Look-up'!$J:$J,0))</f>
        <v>#N/A</v>
      </c>
      <c r="W2103" s="270"/>
      <c r="X2103" s="270">
        <f t="shared" ca="1" si="100"/>
        <v>0</v>
      </c>
      <c r="Y2103" s="270"/>
      <c r="Z2103" s="270"/>
      <c r="AB2103" s="272" t="str">
        <f t="shared" si="101"/>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99"/>
        <v/>
      </c>
      <c r="T2104" s="224" t="str">
        <f ca="1">IF(B2104="","",IF(ISERROR(MATCH($J2104,SorP!$B$1:$B$6230,0)),"",INDIRECT("'SorP'!$A$"&amp;MATCH($J2104,SorP!$B$1:$B$6230,0))))</f>
        <v/>
      </c>
      <c r="U2104" s="239"/>
      <c r="V2104" s="269" t="e">
        <f>IF(C2104="",NA(),MATCH($B2104&amp;$C2104,'Smelter Look-up'!$J:$J,0))</f>
        <v>#N/A</v>
      </c>
      <c r="W2104" s="270"/>
      <c r="X2104" s="270">
        <f t="shared" ca="1" si="100"/>
        <v>0</v>
      </c>
      <c r="Y2104" s="270"/>
      <c r="Z2104" s="270"/>
      <c r="AB2104" s="272" t="str">
        <f t="shared" si="101"/>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99"/>
        <v/>
      </c>
      <c r="T2105" s="224" t="str">
        <f ca="1">IF(B2105="","",IF(ISERROR(MATCH($J2105,SorP!$B$1:$B$6230,0)),"",INDIRECT("'SorP'!$A$"&amp;MATCH($J2105,SorP!$B$1:$B$6230,0))))</f>
        <v/>
      </c>
      <c r="U2105" s="239"/>
      <c r="V2105" s="269" t="e">
        <f>IF(C2105="",NA(),MATCH($B2105&amp;$C2105,'Smelter Look-up'!$J:$J,0))</f>
        <v>#N/A</v>
      </c>
      <c r="W2105" s="270"/>
      <c r="X2105" s="270">
        <f t="shared" ca="1" si="100"/>
        <v>0</v>
      </c>
      <c r="Y2105" s="270"/>
      <c r="Z2105" s="270"/>
      <c r="AB2105" s="272" t="str">
        <f t="shared" si="101"/>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99"/>
        <v/>
      </c>
      <c r="T2106" s="224" t="str">
        <f ca="1">IF(B2106="","",IF(ISERROR(MATCH($J2106,SorP!$B$1:$B$6230,0)),"",INDIRECT("'SorP'!$A$"&amp;MATCH($J2106,SorP!$B$1:$B$6230,0))))</f>
        <v/>
      </c>
      <c r="U2106" s="239"/>
      <c r="V2106" s="269" t="e">
        <f>IF(C2106="",NA(),MATCH($B2106&amp;$C2106,'Smelter Look-up'!$J:$J,0))</f>
        <v>#N/A</v>
      </c>
      <c r="W2106" s="270"/>
      <c r="X2106" s="270">
        <f t="shared" ca="1" si="100"/>
        <v>0</v>
      </c>
      <c r="Y2106" s="270"/>
      <c r="Z2106" s="270"/>
      <c r="AB2106" s="272" t="str">
        <f t="shared" si="101"/>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2">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3">IF(AND(C2107="Smelter not listed",OR(LEN(D2107)=0,LEN(E2107)=0)),1,0)</f>
        <v>0</v>
      </c>
      <c r="Y2107" s="270"/>
      <c r="Z2107" s="270"/>
      <c r="AB2107" s="272" t="str">
        <f t="shared" ref="AB2107:AB2170" si="104">B2107&amp;C2107</f>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2"/>
        <v/>
      </c>
      <c r="T2156" s="224" t="str">
        <f ca="1">IF(B2156="","",IF(ISERROR(MATCH($J2156,SorP!$B$1:$B$6230,0)),"",INDIRECT("'SorP'!$A$"&amp;MATCH($J2156,SorP!$B$1:$B$6230,0))))</f>
        <v/>
      </c>
      <c r="U2156" s="239"/>
      <c r="V2156" s="269" t="e">
        <f>IF(C2156="",NA(),MATCH($B2156&amp;$C2156,'Smelter Look-up'!$J:$J,0))</f>
        <v>#N/A</v>
      </c>
      <c r="W2156" s="270"/>
      <c r="X2156" s="270">
        <f t="shared" ca="1" si="103"/>
        <v>0</v>
      </c>
      <c r="Y2156" s="270"/>
      <c r="Z2156" s="270"/>
      <c r="AB2156" s="272" t="str">
        <f t="shared" si="104"/>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2"/>
        <v/>
      </c>
      <c r="T2157" s="224" t="str">
        <f ca="1">IF(B2157="","",IF(ISERROR(MATCH($J2157,SorP!$B$1:$B$6230,0)),"",INDIRECT("'SorP'!$A$"&amp;MATCH($J2157,SorP!$B$1:$B$6230,0))))</f>
        <v/>
      </c>
      <c r="U2157" s="239"/>
      <c r="V2157" s="269" t="e">
        <f>IF(C2157="",NA(),MATCH($B2157&amp;$C2157,'Smelter Look-up'!$J:$J,0))</f>
        <v>#N/A</v>
      </c>
      <c r="W2157" s="270"/>
      <c r="X2157" s="270">
        <f t="shared" ca="1" si="103"/>
        <v>0</v>
      </c>
      <c r="Y2157" s="270"/>
      <c r="Z2157" s="270"/>
      <c r="AB2157" s="272" t="str">
        <f t="shared" si="104"/>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2"/>
        <v/>
      </c>
      <c r="T2158" s="224" t="str">
        <f ca="1">IF(B2158="","",IF(ISERROR(MATCH($J2158,SorP!$B$1:$B$6230,0)),"",INDIRECT("'SorP'!$A$"&amp;MATCH($J2158,SorP!$B$1:$B$6230,0))))</f>
        <v/>
      </c>
      <c r="U2158" s="239"/>
      <c r="V2158" s="269" t="e">
        <f>IF(C2158="",NA(),MATCH($B2158&amp;$C2158,'Smelter Look-up'!$J:$J,0))</f>
        <v>#N/A</v>
      </c>
      <c r="W2158" s="270"/>
      <c r="X2158" s="270">
        <f t="shared" ca="1" si="103"/>
        <v>0</v>
      </c>
      <c r="Y2158" s="270"/>
      <c r="Z2158" s="270"/>
      <c r="AB2158" s="272" t="str">
        <f t="shared" si="104"/>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2"/>
        <v/>
      </c>
      <c r="T2159" s="224" t="str">
        <f ca="1">IF(B2159="","",IF(ISERROR(MATCH($J2159,SorP!$B$1:$B$6230,0)),"",INDIRECT("'SorP'!$A$"&amp;MATCH($J2159,SorP!$B$1:$B$6230,0))))</f>
        <v/>
      </c>
      <c r="U2159" s="239"/>
      <c r="V2159" s="269" t="e">
        <f>IF(C2159="",NA(),MATCH($B2159&amp;$C2159,'Smelter Look-up'!$J:$J,0))</f>
        <v>#N/A</v>
      </c>
      <c r="W2159" s="270"/>
      <c r="X2159" s="270">
        <f t="shared" ca="1" si="103"/>
        <v>0</v>
      </c>
      <c r="Y2159" s="270"/>
      <c r="Z2159" s="270"/>
      <c r="AB2159" s="272" t="str">
        <f t="shared" si="104"/>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2"/>
        <v/>
      </c>
      <c r="T2160" s="224" t="str">
        <f ca="1">IF(B2160="","",IF(ISERROR(MATCH($J2160,SorP!$B$1:$B$6230,0)),"",INDIRECT("'SorP'!$A$"&amp;MATCH($J2160,SorP!$B$1:$B$6230,0))))</f>
        <v/>
      </c>
      <c r="U2160" s="239"/>
      <c r="V2160" s="269" t="e">
        <f>IF(C2160="",NA(),MATCH($B2160&amp;$C2160,'Smelter Look-up'!$J:$J,0))</f>
        <v>#N/A</v>
      </c>
      <c r="W2160" s="270"/>
      <c r="X2160" s="270">
        <f t="shared" ca="1" si="103"/>
        <v>0</v>
      </c>
      <c r="Y2160" s="270"/>
      <c r="Z2160" s="270"/>
      <c r="AB2160" s="272" t="str">
        <f t="shared" si="104"/>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2"/>
        <v/>
      </c>
      <c r="T2161" s="224" t="str">
        <f ca="1">IF(B2161="","",IF(ISERROR(MATCH($J2161,SorP!$B$1:$B$6230,0)),"",INDIRECT("'SorP'!$A$"&amp;MATCH($J2161,SorP!$B$1:$B$6230,0))))</f>
        <v/>
      </c>
      <c r="U2161" s="239"/>
      <c r="V2161" s="269" t="e">
        <f>IF(C2161="",NA(),MATCH($B2161&amp;$C2161,'Smelter Look-up'!$J:$J,0))</f>
        <v>#N/A</v>
      </c>
      <c r="W2161" s="270"/>
      <c r="X2161" s="270">
        <f t="shared" ca="1" si="103"/>
        <v>0</v>
      </c>
      <c r="Y2161" s="270"/>
      <c r="Z2161" s="270"/>
      <c r="AB2161" s="272" t="str">
        <f t="shared" si="104"/>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2"/>
        <v/>
      </c>
      <c r="T2162" s="224" t="str">
        <f ca="1">IF(B2162="","",IF(ISERROR(MATCH($J2162,SorP!$B$1:$B$6230,0)),"",INDIRECT("'SorP'!$A$"&amp;MATCH($J2162,SorP!$B$1:$B$6230,0))))</f>
        <v/>
      </c>
      <c r="U2162" s="239"/>
      <c r="V2162" s="269" t="e">
        <f>IF(C2162="",NA(),MATCH($B2162&amp;$C2162,'Smelter Look-up'!$J:$J,0))</f>
        <v>#N/A</v>
      </c>
      <c r="W2162" s="270"/>
      <c r="X2162" s="270">
        <f t="shared" ca="1" si="103"/>
        <v>0</v>
      </c>
      <c r="Y2162" s="270"/>
      <c r="Z2162" s="270"/>
      <c r="AB2162" s="272" t="str">
        <f t="shared" si="104"/>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2"/>
        <v/>
      </c>
      <c r="T2163" s="224" t="str">
        <f ca="1">IF(B2163="","",IF(ISERROR(MATCH($J2163,SorP!$B$1:$B$6230,0)),"",INDIRECT("'SorP'!$A$"&amp;MATCH($J2163,SorP!$B$1:$B$6230,0))))</f>
        <v/>
      </c>
      <c r="U2163" s="239"/>
      <c r="V2163" s="269" t="e">
        <f>IF(C2163="",NA(),MATCH($B2163&amp;$C2163,'Smelter Look-up'!$J:$J,0))</f>
        <v>#N/A</v>
      </c>
      <c r="W2163" s="270"/>
      <c r="X2163" s="270">
        <f t="shared" ca="1" si="103"/>
        <v>0</v>
      </c>
      <c r="Y2163" s="270"/>
      <c r="Z2163" s="270"/>
      <c r="AB2163" s="272" t="str">
        <f t="shared" si="104"/>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2"/>
        <v/>
      </c>
      <c r="T2164" s="224" t="str">
        <f ca="1">IF(B2164="","",IF(ISERROR(MATCH($J2164,SorP!$B$1:$B$6230,0)),"",INDIRECT("'SorP'!$A$"&amp;MATCH($J2164,SorP!$B$1:$B$6230,0))))</f>
        <v/>
      </c>
      <c r="U2164" s="239"/>
      <c r="V2164" s="269" t="e">
        <f>IF(C2164="",NA(),MATCH($B2164&amp;$C2164,'Smelter Look-up'!$J:$J,0))</f>
        <v>#N/A</v>
      </c>
      <c r="W2164" s="270"/>
      <c r="X2164" s="270">
        <f t="shared" ca="1" si="103"/>
        <v>0</v>
      </c>
      <c r="Y2164" s="270"/>
      <c r="Z2164" s="270"/>
      <c r="AB2164" s="272" t="str">
        <f t="shared" si="104"/>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2"/>
        <v/>
      </c>
      <c r="T2165" s="224" t="str">
        <f ca="1">IF(B2165="","",IF(ISERROR(MATCH($J2165,SorP!$B$1:$B$6230,0)),"",INDIRECT("'SorP'!$A$"&amp;MATCH($J2165,SorP!$B$1:$B$6230,0))))</f>
        <v/>
      </c>
      <c r="U2165" s="239"/>
      <c r="V2165" s="269" t="e">
        <f>IF(C2165="",NA(),MATCH($B2165&amp;$C2165,'Smelter Look-up'!$J:$J,0))</f>
        <v>#N/A</v>
      </c>
      <c r="W2165" s="270"/>
      <c r="X2165" s="270">
        <f t="shared" ca="1" si="103"/>
        <v>0</v>
      </c>
      <c r="Y2165" s="270"/>
      <c r="Z2165" s="270"/>
      <c r="AB2165" s="272" t="str">
        <f t="shared" si="104"/>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2"/>
        <v/>
      </c>
      <c r="T2166" s="224" t="str">
        <f ca="1">IF(B2166="","",IF(ISERROR(MATCH($J2166,SorP!$B$1:$B$6230,0)),"",INDIRECT("'SorP'!$A$"&amp;MATCH($J2166,SorP!$B$1:$B$6230,0))))</f>
        <v/>
      </c>
      <c r="U2166" s="239"/>
      <c r="V2166" s="269" t="e">
        <f>IF(C2166="",NA(),MATCH($B2166&amp;$C2166,'Smelter Look-up'!$J:$J,0))</f>
        <v>#N/A</v>
      </c>
      <c r="W2166" s="270"/>
      <c r="X2166" s="270">
        <f t="shared" ca="1" si="103"/>
        <v>0</v>
      </c>
      <c r="Y2166" s="270"/>
      <c r="Z2166" s="270"/>
      <c r="AB2166" s="272" t="str">
        <f t="shared" si="104"/>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2"/>
        <v/>
      </c>
      <c r="T2167" s="224" t="str">
        <f ca="1">IF(B2167="","",IF(ISERROR(MATCH($J2167,SorP!$B$1:$B$6230,0)),"",INDIRECT("'SorP'!$A$"&amp;MATCH($J2167,SorP!$B$1:$B$6230,0))))</f>
        <v/>
      </c>
      <c r="U2167" s="239"/>
      <c r="V2167" s="269" t="e">
        <f>IF(C2167="",NA(),MATCH($B2167&amp;$C2167,'Smelter Look-up'!$J:$J,0))</f>
        <v>#N/A</v>
      </c>
      <c r="W2167" s="270"/>
      <c r="X2167" s="270">
        <f t="shared" ca="1" si="103"/>
        <v>0</v>
      </c>
      <c r="Y2167" s="270"/>
      <c r="Z2167" s="270"/>
      <c r="AB2167" s="272" t="str">
        <f t="shared" si="104"/>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2"/>
        <v/>
      </c>
      <c r="T2168" s="224" t="str">
        <f ca="1">IF(B2168="","",IF(ISERROR(MATCH($J2168,SorP!$B$1:$B$6230,0)),"",INDIRECT("'SorP'!$A$"&amp;MATCH($J2168,SorP!$B$1:$B$6230,0))))</f>
        <v/>
      </c>
      <c r="U2168" s="239"/>
      <c r="V2168" s="269" t="e">
        <f>IF(C2168="",NA(),MATCH($B2168&amp;$C2168,'Smelter Look-up'!$J:$J,0))</f>
        <v>#N/A</v>
      </c>
      <c r="W2168" s="270"/>
      <c r="X2168" s="270">
        <f t="shared" ca="1" si="103"/>
        <v>0</v>
      </c>
      <c r="Y2168" s="270"/>
      <c r="Z2168" s="270"/>
      <c r="AB2168" s="272" t="str">
        <f t="shared" si="104"/>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2"/>
        <v/>
      </c>
      <c r="T2169" s="224" t="str">
        <f ca="1">IF(B2169="","",IF(ISERROR(MATCH($J2169,SorP!$B$1:$B$6230,0)),"",INDIRECT("'SorP'!$A$"&amp;MATCH($J2169,SorP!$B$1:$B$6230,0))))</f>
        <v/>
      </c>
      <c r="U2169" s="239"/>
      <c r="V2169" s="269" t="e">
        <f>IF(C2169="",NA(),MATCH($B2169&amp;$C2169,'Smelter Look-up'!$J:$J,0))</f>
        <v>#N/A</v>
      </c>
      <c r="W2169" s="270"/>
      <c r="X2169" s="270">
        <f t="shared" ca="1" si="103"/>
        <v>0</v>
      </c>
      <c r="Y2169" s="270"/>
      <c r="Z2169" s="270"/>
      <c r="AB2169" s="272" t="str">
        <f t="shared" si="104"/>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2"/>
        <v/>
      </c>
      <c r="T2170" s="224" t="str">
        <f ca="1">IF(B2170="","",IF(ISERROR(MATCH($J2170,SorP!$B$1:$B$6230,0)),"",INDIRECT("'SorP'!$A$"&amp;MATCH($J2170,SorP!$B$1:$B$6230,0))))</f>
        <v/>
      </c>
      <c r="U2170" s="239"/>
      <c r="V2170" s="269" t="e">
        <f>IF(C2170="",NA(),MATCH($B2170&amp;$C2170,'Smelter Look-up'!$J:$J,0))</f>
        <v>#N/A</v>
      </c>
      <c r="W2170" s="270"/>
      <c r="X2170" s="270">
        <f t="shared" ca="1" si="103"/>
        <v>0</v>
      </c>
      <c r="Y2170" s="270"/>
      <c r="Z2170" s="270"/>
      <c r="AB2170" s="272" t="str">
        <f t="shared" si="104"/>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5">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6">IF(AND(C2171="Smelter not listed",OR(LEN(D2171)=0,LEN(E2171)=0)),1,0)</f>
        <v>0</v>
      </c>
      <c r="Y2171" s="270"/>
      <c r="Z2171" s="270"/>
      <c r="AB2171" s="272" t="str">
        <f t="shared" ref="AB2171:AB2234" si="107">B2171&amp;C2171</f>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5"/>
        <v/>
      </c>
      <c r="T2220" s="224" t="str">
        <f ca="1">IF(B2220="","",IF(ISERROR(MATCH($J2220,SorP!$B$1:$B$6230,0)),"",INDIRECT("'SorP'!$A$"&amp;MATCH($J2220,SorP!$B$1:$B$6230,0))))</f>
        <v/>
      </c>
      <c r="U2220" s="239"/>
      <c r="V2220" s="269" t="e">
        <f>IF(C2220="",NA(),MATCH($B2220&amp;$C2220,'Smelter Look-up'!$J:$J,0))</f>
        <v>#N/A</v>
      </c>
      <c r="W2220" s="270"/>
      <c r="X2220" s="270">
        <f t="shared" ca="1" si="106"/>
        <v>0</v>
      </c>
      <c r="Y2220" s="270"/>
      <c r="Z2220" s="270"/>
      <c r="AB2220" s="272" t="str">
        <f t="shared" si="107"/>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5"/>
        <v/>
      </c>
      <c r="T2221" s="224" t="str">
        <f ca="1">IF(B2221="","",IF(ISERROR(MATCH($J2221,SorP!$B$1:$B$6230,0)),"",INDIRECT("'SorP'!$A$"&amp;MATCH($J2221,SorP!$B$1:$B$6230,0))))</f>
        <v/>
      </c>
      <c r="U2221" s="239"/>
      <c r="V2221" s="269" t="e">
        <f>IF(C2221="",NA(),MATCH($B2221&amp;$C2221,'Smelter Look-up'!$J:$J,0))</f>
        <v>#N/A</v>
      </c>
      <c r="W2221" s="270"/>
      <c r="X2221" s="270">
        <f t="shared" ca="1" si="106"/>
        <v>0</v>
      </c>
      <c r="Y2221" s="270"/>
      <c r="Z2221" s="270"/>
      <c r="AB2221" s="272" t="str">
        <f t="shared" si="107"/>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5"/>
        <v/>
      </c>
      <c r="T2222" s="224" t="str">
        <f ca="1">IF(B2222="","",IF(ISERROR(MATCH($J2222,SorP!$B$1:$B$6230,0)),"",INDIRECT("'SorP'!$A$"&amp;MATCH($J2222,SorP!$B$1:$B$6230,0))))</f>
        <v/>
      </c>
      <c r="U2222" s="239"/>
      <c r="V2222" s="269" t="e">
        <f>IF(C2222="",NA(),MATCH($B2222&amp;$C2222,'Smelter Look-up'!$J:$J,0))</f>
        <v>#N/A</v>
      </c>
      <c r="W2222" s="270"/>
      <c r="X2222" s="270">
        <f t="shared" ca="1" si="106"/>
        <v>0</v>
      </c>
      <c r="Y2222" s="270"/>
      <c r="Z2222" s="270"/>
      <c r="AB2222" s="272" t="str">
        <f t="shared" si="107"/>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5"/>
        <v/>
      </c>
      <c r="T2223" s="224" t="str">
        <f ca="1">IF(B2223="","",IF(ISERROR(MATCH($J2223,SorP!$B$1:$B$6230,0)),"",INDIRECT("'SorP'!$A$"&amp;MATCH($J2223,SorP!$B$1:$B$6230,0))))</f>
        <v/>
      </c>
      <c r="U2223" s="239"/>
      <c r="V2223" s="269" t="e">
        <f>IF(C2223="",NA(),MATCH($B2223&amp;$C2223,'Smelter Look-up'!$J:$J,0))</f>
        <v>#N/A</v>
      </c>
      <c r="W2223" s="270"/>
      <c r="X2223" s="270">
        <f t="shared" ca="1" si="106"/>
        <v>0</v>
      </c>
      <c r="Y2223" s="270"/>
      <c r="Z2223" s="270"/>
      <c r="AB2223" s="272" t="str">
        <f t="shared" si="107"/>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5"/>
        <v/>
      </c>
      <c r="T2224" s="224" t="str">
        <f ca="1">IF(B2224="","",IF(ISERROR(MATCH($J2224,SorP!$B$1:$B$6230,0)),"",INDIRECT("'SorP'!$A$"&amp;MATCH($J2224,SorP!$B$1:$B$6230,0))))</f>
        <v/>
      </c>
      <c r="U2224" s="239"/>
      <c r="V2224" s="269" t="e">
        <f>IF(C2224="",NA(),MATCH($B2224&amp;$C2224,'Smelter Look-up'!$J:$J,0))</f>
        <v>#N/A</v>
      </c>
      <c r="W2224" s="270"/>
      <c r="X2224" s="270">
        <f t="shared" ca="1" si="106"/>
        <v>0</v>
      </c>
      <c r="Y2224" s="270"/>
      <c r="Z2224" s="270"/>
      <c r="AB2224" s="272" t="str">
        <f t="shared" si="107"/>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5"/>
        <v/>
      </c>
      <c r="T2225" s="224" t="str">
        <f ca="1">IF(B2225="","",IF(ISERROR(MATCH($J2225,SorP!$B$1:$B$6230,0)),"",INDIRECT("'SorP'!$A$"&amp;MATCH($J2225,SorP!$B$1:$B$6230,0))))</f>
        <v/>
      </c>
      <c r="U2225" s="239"/>
      <c r="V2225" s="269" t="e">
        <f>IF(C2225="",NA(),MATCH($B2225&amp;$C2225,'Smelter Look-up'!$J:$J,0))</f>
        <v>#N/A</v>
      </c>
      <c r="W2225" s="270"/>
      <c r="X2225" s="270">
        <f t="shared" ca="1" si="106"/>
        <v>0</v>
      </c>
      <c r="Y2225" s="270"/>
      <c r="Z2225" s="270"/>
      <c r="AB2225" s="272" t="str">
        <f t="shared" si="107"/>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5"/>
        <v/>
      </c>
      <c r="T2226" s="224" t="str">
        <f ca="1">IF(B2226="","",IF(ISERROR(MATCH($J2226,SorP!$B$1:$B$6230,0)),"",INDIRECT("'SorP'!$A$"&amp;MATCH($J2226,SorP!$B$1:$B$6230,0))))</f>
        <v/>
      </c>
      <c r="U2226" s="239"/>
      <c r="V2226" s="269" t="e">
        <f>IF(C2226="",NA(),MATCH($B2226&amp;$C2226,'Smelter Look-up'!$J:$J,0))</f>
        <v>#N/A</v>
      </c>
      <c r="W2226" s="270"/>
      <c r="X2226" s="270">
        <f t="shared" ca="1" si="106"/>
        <v>0</v>
      </c>
      <c r="Y2226" s="270"/>
      <c r="Z2226" s="270"/>
      <c r="AB2226" s="272" t="str">
        <f t="shared" si="107"/>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5"/>
        <v/>
      </c>
      <c r="T2227" s="224" t="str">
        <f ca="1">IF(B2227="","",IF(ISERROR(MATCH($J2227,SorP!$B$1:$B$6230,0)),"",INDIRECT("'SorP'!$A$"&amp;MATCH($J2227,SorP!$B$1:$B$6230,0))))</f>
        <v/>
      </c>
      <c r="U2227" s="239"/>
      <c r="V2227" s="269" t="e">
        <f>IF(C2227="",NA(),MATCH($B2227&amp;$C2227,'Smelter Look-up'!$J:$J,0))</f>
        <v>#N/A</v>
      </c>
      <c r="W2227" s="270"/>
      <c r="X2227" s="270">
        <f t="shared" ca="1" si="106"/>
        <v>0</v>
      </c>
      <c r="Y2227" s="270"/>
      <c r="Z2227" s="270"/>
      <c r="AB2227" s="272" t="str">
        <f t="shared" si="107"/>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5"/>
        <v/>
      </c>
      <c r="T2228" s="224" t="str">
        <f ca="1">IF(B2228="","",IF(ISERROR(MATCH($J2228,SorP!$B$1:$B$6230,0)),"",INDIRECT("'SorP'!$A$"&amp;MATCH($J2228,SorP!$B$1:$B$6230,0))))</f>
        <v/>
      </c>
      <c r="U2228" s="239"/>
      <c r="V2228" s="269" t="e">
        <f>IF(C2228="",NA(),MATCH($B2228&amp;$C2228,'Smelter Look-up'!$J:$J,0))</f>
        <v>#N/A</v>
      </c>
      <c r="W2228" s="270"/>
      <c r="X2228" s="270">
        <f t="shared" ca="1" si="106"/>
        <v>0</v>
      </c>
      <c r="Y2228" s="270"/>
      <c r="Z2228" s="270"/>
      <c r="AB2228" s="272" t="str">
        <f t="shared" si="107"/>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5"/>
        <v/>
      </c>
      <c r="T2229" s="224" t="str">
        <f ca="1">IF(B2229="","",IF(ISERROR(MATCH($J2229,SorP!$B$1:$B$6230,0)),"",INDIRECT("'SorP'!$A$"&amp;MATCH($J2229,SorP!$B$1:$B$6230,0))))</f>
        <v/>
      </c>
      <c r="U2229" s="239"/>
      <c r="V2229" s="269" t="e">
        <f>IF(C2229="",NA(),MATCH($B2229&amp;$C2229,'Smelter Look-up'!$J:$J,0))</f>
        <v>#N/A</v>
      </c>
      <c r="W2229" s="270"/>
      <c r="X2229" s="270">
        <f t="shared" ca="1" si="106"/>
        <v>0</v>
      </c>
      <c r="Y2229" s="270"/>
      <c r="Z2229" s="270"/>
      <c r="AB2229" s="272" t="str">
        <f t="shared" si="107"/>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5"/>
        <v/>
      </c>
      <c r="T2230" s="224" t="str">
        <f ca="1">IF(B2230="","",IF(ISERROR(MATCH($J2230,SorP!$B$1:$B$6230,0)),"",INDIRECT("'SorP'!$A$"&amp;MATCH($J2230,SorP!$B$1:$B$6230,0))))</f>
        <v/>
      </c>
      <c r="U2230" s="239"/>
      <c r="V2230" s="269" t="e">
        <f>IF(C2230="",NA(),MATCH($B2230&amp;$C2230,'Smelter Look-up'!$J:$J,0))</f>
        <v>#N/A</v>
      </c>
      <c r="W2230" s="270"/>
      <c r="X2230" s="270">
        <f t="shared" ca="1" si="106"/>
        <v>0</v>
      </c>
      <c r="Y2230" s="270"/>
      <c r="Z2230" s="270"/>
      <c r="AB2230" s="272" t="str">
        <f t="shared" si="107"/>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5"/>
        <v/>
      </c>
      <c r="T2231" s="224" t="str">
        <f ca="1">IF(B2231="","",IF(ISERROR(MATCH($J2231,SorP!$B$1:$B$6230,0)),"",INDIRECT("'SorP'!$A$"&amp;MATCH($J2231,SorP!$B$1:$B$6230,0))))</f>
        <v/>
      </c>
      <c r="U2231" s="239"/>
      <c r="V2231" s="269" t="e">
        <f>IF(C2231="",NA(),MATCH($B2231&amp;$C2231,'Smelter Look-up'!$J:$J,0))</f>
        <v>#N/A</v>
      </c>
      <c r="W2231" s="270"/>
      <c r="X2231" s="270">
        <f t="shared" ca="1" si="106"/>
        <v>0</v>
      </c>
      <c r="Y2231" s="270"/>
      <c r="Z2231" s="270"/>
      <c r="AB2231" s="272" t="str">
        <f t="shared" si="107"/>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5"/>
        <v/>
      </c>
      <c r="T2232" s="224" t="str">
        <f ca="1">IF(B2232="","",IF(ISERROR(MATCH($J2232,SorP!$B$1:$B$6230,0)),"",INDIRECT("'SorP'!$A$"&amp;MATCH($J2232,SorP!$B$1:$B$6230,0))))</f>
        <v/>
      </c>
      <c r="U2232" s="239"/>
      <c r="V2232" s="269" t="e">
        <f>IF(C2232="",NA(),MATCH($B2232&amp;$C2232,'Smelter Look-up'!$J:$J,0))</f>
        <v>#N/A</v>
      </c>
      <c r="W2232" s="270"/>
      <c r="X2232" s="270">
        <f t="shared" ca="1" si="106"/>
        <v>0</v>
      </c>
      <c r="Y2232" s="270"/>
      <c r="Z2232" s="270"/>
      <c r="AB2232" s="272" t="str">
        <f t="shared" si="107"/>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5"/>
        <v/>
      </c>
      <c r="T2233" s="224" t="str">
        <f ca="1">IF(B2233="","",IF(ISERROR(MATCH($J2233,SorP!$B$1:$B$6230,0)),"",INDIRECT("'SorP'!$A$"&amp;MATCH($J2233,SorP!$B$1:$B$6230,0))))</f>
        <v/>
      </c>
      <c r="U2233" s="239"/>
      <c r="V2233" s="269" t="e">
        <f>IF(C2233="",NA(),MATCH($B2233&amp;$C2233,'Smelter Look-up'!$J:$J,0))</f>
        <v>#N/A</v>
      </c>
      <c r="W2233" s="270"/>
      <c r="X2233" s="270">
        <f t="shared" ca="1" si="106"/>
        <v>0</v>
      </c>
      <c r="Y2233" s="270"/>
      <c r="Z2233" s="270"/>
      <c r="AB2233" s="272" t="str">
        <f t="shared" si="107"/>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5"/>
        <v/>
      </c>
      <c r="T2234" s="224" t="str">
        <f ca="1">IF(B2234="","",IF(ISERROR(MATCH($J2234,SorP!$B$1:$B$6230,0)),"",INDIRECT("'SorP'!$A$"&amp;MATCH($J2234,SorP!$B$1:$B$6230,0))))</f>
        <v/>
      </c>
      <c r="U2234" s="239"/>
      <c r="V2234" s="269" t="e">
        <f>IF(C2234="",NA(),MATCH($B2234&amp;$C2234,'Smelter Look-up'!$J:$J,0))</f>
        <v>#N/A</v>
      </c>
      <c r="W2234" s="270"/>
      <c r="X2234" s="270">
        <f t="shared" ca="1" si="106"/>
        <v>0</v>
      </c>
      <c r="Y2234" s="270"/>
      <c r="Z2234" s="270"/>
      <c r="AB2234" s="272" t="str">
        <f t="shared" si="107"/>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08">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09">IF(AND(C2235="Smelter not listed",OR(LEN(D2235)=0,LEN(E2235)=0)),1,0)</f>
        <v>0</v>
      </c>
      <c r="Y2235" s="270"/>
      <c r="Z2235" s="270"/>
      <c r="AB2235" s="272" t="str">
        <f t="shared" ref="AB2235:AB2298" si="110">B2235&amp;C2235</f>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8"/>
        <v/>
      </c>
      <c r="T2284" s="224" t="str">
        <f ca="1">IF(B2284="","",IF(ISERROR(MATCH($J2284,SorP!$B$1:$B$6230,0)),"",INDIRECT("'SorP'!$A$"&amp;MATCH($J2284,SorP!$B$1:$B$6230,0))))</f>
        <v/>
      </c>
      <c r="U2284" s="239"/>
      <c r="V2284" s="269" t="e">
        <f>IF(C2284="",NA(),MATCH($B2284&amp;$C2284,'Smelter Look-up'!$J:$J,0))</f>
        <v>#N/A</v>
      </c>
      <c r="W2284" s="270"/>
      <c r="X2284" s="270">
        <f t="shared" ca="1" si="109"/>
        <v>0</v>
      </c>
      <c r="Y2284" s="270"/>
      <c r="Z2284" s="270"/>
      <c r="AB2284" s="272" t="str">
        <f t="shared" si="110"/>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8"/>
        <v/>
      </c>
      <c r="T2285" s="224" t="str">
        <f ca="1">IF(B2285="","",IF(ISERROR(MATCH($J2285,SorP!$B$1:$B$6230,0)),"",INDIRECT("'SorP'!$A$"&amp;MATCH($J2285,SorP!$B$1:$B$6230,0))))</f>
        <v/>
      </c>
      <c r="U2285" s="239"/>
      <c r="V2285" s="269" t="e">
        <f>IF(C2285="",NA(),MATCH($B2285&amp;$C2285,'Smelter Look-up'!$J:$J,0))</f>
        <v>#N/A</v>
      </c>
      <c r="W2285" s="270"/>
      <c r="X2285" s="270">
        <f t="shared" ca="1" si="109"/>
        <v>0</v>
      </c>
      <c r="Y2285" s="270"/>
      <c r="Z2285" s="270"/>
      <c r="AB2285" s="272" t="str">
        <f t="shared" si="110"/>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8"/>
        <v/>
      </c>
      <c r="T2286" s="224" t="str">
        <f ca="1">IF(B2286="","",IF(ISERROR(MATCH($J2286,SorP!$B$1:$B$6230,0)),"",INDIRECT("'SorP'!$A$"&amp;MATCH($J2286,SorP!$B$1:$B$6230,0))))</f>
        <v/>
      </c>
      <c r="U2286" s="239"/>
      <c r="V2286" s="269" t="e">
        <f>IF(C2286="",NA(),MATCH($B2286&amp;$C2286,'Smelter Look-up'!$J:$J,0))</f>
        <v>#N/A</v>
      </c>
      <c r="W2286" s="270"/>
      <c r="X2286" s="270">
        <f t="shared" ca="1" si="109"/>
        <v>0</v>
      </c>
      <c r="Y2286" s="270"/>
      <c r="Z2286" s="270"/>
      <c r="AB2286" s="272" t="str">
        <f t="shared" si="110"/>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8"/>
        <v/>
      </c>
      <c r="T2287" s="224" t="str">
        <f ca="1">IF(B2287="","",IF(ISERROR(MATCH($J2287,SorP!$B$1:$B$6230,0)),"",INDIRECT("'SorP'!$A$"&amp;MATCH($J2287,SorP!$B$1:$B$6230,0))))</f>
        <v/>
      </c>
      <c r="U2287" s="239"/>
      <c r="V2287" s="269" t="e">
        <f>IF(C2287="",NA(),MATCH($B2287&amp;$C2287,'Smelter Look-up'!$J:$J,0))</f>
        <v>#N/A</v>
      </c>
      <c r="W2287" s="270"/>
      <c r="X2287" s="270">
        <f t="shared" ca="1" si="109"/>
        <v>0</v>
      </c>
      <c r="Y2287" s="270"/>
      <c r="Z2287" s="270"/>
      <c r="AB2287" s="272" t="str">
        <f t="shared" si="110"/>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8"/>
        <v/>
      </c>
      <c r="T2288" s="224" t="str">
        <f ca="1">IF(B2288="","",IF(ISERROR(MATCH($J2288,SorP!$B$1:$B$6230,0)),"",INDIRECT("'SorP'!$A$"&amp;MATCH($J2288,SorP!$B$1:$B$6230,0))))</f>
        <v/>
      </c>
      <c r="U2288" s="239"/>
      <c r="V2288" s="269" t="e">
        <f>IF(C2288="",NA(),MATCH($B2288&amp;$C2288,'Smelter Look-up'!$J:$J,0))</f>
        <v>#N/A</v>
      </c>
      <c r="W2288" s="270"/>
      <c r="X2288" s="270">
        <f t="shared" ca="1" si="109"/>
        <v>0</v>
      </c>
      <c r="Y2288" s="270"/>
      <c r="Z2288" s="270"/>
      <c r="AB2288" s="272" t="str">
        <f t="shared" si="110"/>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8"/>
        <v/>
      </c>
      <c r="T2289" s="224" t="str">
        <f ca="1">IF(B2289="","",IF(ISERROR(MATCH($J2289,SorP!$B$1:$B$6230,0)),"",INDIRECT("'SorP'!$A$"&amp;MATCH($J2289,SorP!$B$1:$B$6230,0))))</f>
        <v/>
      </c>
      <c r="U2289" s="239"/>
      <c r="V2289" s="269" t="e">
        <f>IF(C2289="",NA(),MATCH($B2289&amp;$C2289,'Smelter Look-up'!$J:$J,0))</f>
        <v>#N/A</v>
      </c>
      <c r="W2289" s="270"/>
      <c r="X2289" s="270">
        <f t="shared" ca="1" si="109"/>
        <v>0</v>
      </c>
      <c r="Y2289" s="270"/>
      <c r="Z2289" s="270"/>
      <c r="AB2289" s="272" t="str">
        <f t="shared" si="110"/>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8"/>
        <v/>
      </c>
      <c r="T2290" s="224" t="str">
        <f ca="1">IF(B2290="","",IF(ISERROR(MATCH($J2290,SorP!$B$1:$B$6230,0)),"",INDIRECT("'SorP'!$A$"&amp;MATCH($J2290,SorP!$B$1:$B$6230,0))))</f>
        <v/>
      </c>
      <c r="U2290" s="239"/>
      <c r="V2290" s="269" t="e">
        <f>IF(C2290="",NA(),MATCH($B2290&amp;$C2290,'Smelter Look-up'!$J:$J,0))</f>
        <v>#N/A</v>
      </c>
      <c r="W2290" s="270"/>
      <c r="X2290" s="270">
        <f t="shared" ca="1" si="109"/>
        <v>0</v>
      </c>
      <c r="Y2290" s="270"/>
      <c r="Z2290" s="270"/>
      <c r="AB2290" s="272" t="str">
        <f t="shared" si="110"/>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8"/>
        <v/>
      </c>
      <c r="T2291" s="224" t="str">
        <f ca="1">IF(B2291="","",IF(ISERROR(MATCH($J2291,SorP!$B$1:$B$6230,0)),"",INDIRECT("'SorP'!$A$"&amp;MATCH($J2291,SorP!$B$1:$B$6230,0))))</f>
        <v/>
      </c>
      <c r="U2291" s="239"/>
      <c r="V2291" s="269" t="e">
        <f>IF(C2291="",NA(),MATCH($B2291&amp;$C2291,'Smelter Look-up'!$J:$J,0))</f>
        <v>#N/A</v>
      </c>
      <c r="W2291" s="270"/>
      <c r="X2291" s="270">
        <f t="shared" ca="1" si="109"/>
        <v>0</v>
      </c>
      <c r="Y2291" s="270"/>
      <c r="Z2291" s="270"/>
      <c r="AB2291" s="272" t="str">
        <f t="shared" si="110"/>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8"/>
        <v/>
      </c>
      <c r="T2292" s="224" t="str">
        <f ca="1">IF(B2292="","",IF(ISERROR(MATCH($J2292,SorP!$B$1:$B$6230,0)),"",INDIRECT("'SorP'!$A$"&amp;MATCH($J2292,SorP!$B$1:$B$6230,0))))</f>
        <v/>
      </c>
      <c r="U2292" s="239"/>
      <c r="V2292" s="269" t="e">
        <f>IF(C2292="",NA(),MATCH($B2292&amp;$C2292,'Smelter Look-up'!$J:$J,0))</f>
        <v>#N/A</v>
      </c>
      <c r="W2292" s="270"/>
      <c r="X2292" s="270">
        <f t="shared" ca="1" si="109"/>
        <v>0</v>
      </c>
      <c r="Y2292" s="270"/>
      <c r="Z2292" s="270"/>
      <c r="AB2292" s="272" t="str">
        <f t="shared" si="110"/>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08"/>
        <v/>
      </c>
      <c r="T2293" s="224" t="str">
        <f ca="1">IF(B2293="","",IF(ISERROR(MATCH($J2293,SorP!$B$1:$B$6230,0)),"",INDIRECT("'SorP'!$A$"&amp;MATCH($J2293,SorP!$B$1:$B$6230,0))))</f>
        <v/>
      </c>
      <c r="U2293" s="239"/>
      <c r="V2293" s="269" t="e">
        <f>IF(C2293="",NA(),MATCH($B2293&amp;$C2293,'Smelter Look-up'!$J:$J,0))</f>
        <v>#N/A</v>
      </c>
      <c r="W2293" s="270"/>
      <c r="X2293" s="270">
        <f t="shared" ca="1" si="109"/>
        <v>0</v>
      </c>
      <c r="Y2293" s="270"/>
      <c r="Z2293" s="270"/>
      <c r="AB2293" s="272" t="str">
        <f t="shared" si="110"/>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08"/>
        <v/>
      </c>
      <c r="T2294" s="224" t="str">
        <f ca="1">IF(B2294="","",IF(ISERROR(MATCH($J2294,SorP!$B$1:$B$6230,0)),"",INDIRECT("'SorP'!$A$"&amp;MATCH($J2294,SorP!$B$1:$B$6230,0))))</f>
        <v/>
      </c>
      <c r="U2294" s="239"/>
      <c r="V2294" s="269" t="e">
        <f>IF(C2294="",NA(),MATCH($B2294&amp;$C2294,'Smelter Look-up'!$J:$J,0))</f>
        <v>#N/A</v>
      </c>
      <c r="W2294" s="270"/>
      <c r="X2294" s="270">
        <f t="shared" ca="1" si="109"/>
        <v>0</v>
      </c>
      <c r="Y2294" s="270"/>
      <c r="Z2294" s="270"/>
      <c r="AB2294" s="272" t="str">
        <f t="shared" si="110"/>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08"/>
        <v/>
      </c>
      <c r="T2295" s="224" t="str">
        <f ca="1">IF(B2295="","",IF(ISERROR(MATCH($J2295,SorP!$B$1:$B$6230,0)),"",INDIRECT("'SorP'!$A$"&amp;MATCH($J2295,SorP!$B$1:$B$6230,0))))</f>
        <v/>
      </c>
      <c r="U2295" s="239"/>
      <c r="V2295" s="269" t="e">
        <f>IF(C2295="",NA(),MATCH($B2295&amp;$C2295,'Smelter Look-up'!$J:$J,0))</f>
        <v>#N/A</v>
      </c>
      <c r="W2295" s="270"/>
      <c r="X2295" s="270">
        <f t="shared" ca="1" si="109"/>
        <v>0</v>
      </c>
      <c r="Y2295" s="270"/>
      <c r="Z2295" s="270"/>
      <c r="AB2295" s="272" t="str">
        <f t="shared" si="110"/>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08"/>
        <v/>
      </c>
      <c r="T2296" s="224" t="str">
        <f ca="1">IF(B2296="","",IF(ISERROR(MATCH($J2296,SorP!$B$1:$B$6230,0)),"",INDIRECT("'SorP'!$A$"&amp;MATCH($J2296,SorP!$B$1:$B$6230,0))))</f>
        <v/>
      </c>
      <c r="U2296" s="239"/>
      <c r="V2296" s="269" t="e">
        <f>IF(C2296="",NA(),MATCH($B2296&amp;$C2296,'Smelter Look-up'!$J:$J,0))</f>
        <v>#N/A</v>
      </c>
      <c r="W2296" s="270"/>
      <c r="X2296" s="270">
        <f t="shared" ca="1" si="109"/>
        <v>0</v>
      </c>
      <c r="Y2296" s="270"/>
      <c r="Z2296" s="270"/>
      <c r="AB2296" s="272" t="str">
        <f t="shared" si="110"/>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08"/>
        <v/>
      </c>
      <c r="T2297" s="224" t="str">
        <f ca="1">IF(B2297="","",IF(ISERROR(MATCH($J2297,SorP!$B$1:$B$6230,0)),"",INDIRECT("'SorP'!$A$"&amp;MATCH($J2297,SorP!$B$1:$B$6230,0))))</f>
        <v/>
      </c>
      <c r="U2297" s="239"/>
      <c r="V2297" s="269" t="e">
        <f>IF(C2297="",NA(),MATCH($B2297&amp;$C2297,'Smelter Look-up'!$J:$J,0))</f>
        <v>#N/A</v>
      </c>
      <c r="W2297" s="270"/>
      <c r="X2297" s="270">
        <f t="shared" ca="1" si="109"/>
        <v>0</v>
      </c>
      <c r="Y2297" s="270"/>
      <c r="Z2297" s="270"/>
      <c r="AB2297" s="272" t="str">
        <f t="shared" si="110"/>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08"/>
        <v/>
      </c>
      <c r="T2298" s="224" t="str">
        <f ca="1">IF(B2298="","",IF(ISERROR(MATCH($J2298,SorP!$B$1:$B$6230,0)),"",INDIRECT("'SorP'!$A$"&amp;MATCH($J2298,SorP!$B$1:$B$6230,0))))</f>
        <v/>
      </c>
      <c r="U2298" s="239"/>
      <c r="V2298" s="269" t="e">
        <f>IF(C2298="",NA(),MATCH($B2298&amp;$C2298,'Smelter Look-up'!$J:$J,0))</f>
        <v>#N/A</v>
      </c>
      <c r="W2298" s="270"/>
      <c r="X2298" s="270">
        <f t="shared" ca="1" si="109"/>
        <v>0</v>
      </c>
      <c r="Y2298" s="270"/>
      <c r="Z2298" s="270"/>
      <c r="AB2298" s="272" t="str">
        <f t="shared" si="110"/>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1">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2">IF(AND(C2299="Smelter not listed",OR(LEN(D2299)=0,LEN(E2299)=0)),1,0)</f>
        <v>0</v>
      </c>
      <c r="Y2299" s="270"/>
      <c r="Z2299" s="270"/>
      <c r="AB2299" s="272" t="str">
        <f t="shared" ref="AB2299:AB2362" si="113">B2299&amp;C2299</f>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1"/>
        <v/>
      </c>
      <c r="T2348" s="224" t="str">
        <f ca="1">IF(B2348="","",IF(ISERROR(MATCH($J2348,SorP!$B$1:$B$6230,0)),"",INDIRECT("'SorP'!$A$"&amp;MATCH($J2348,SorP!$B$1:$B$6230,0))))</f>
        <v/>
      </c>
      <c r="U2348" s="239"/>
      <c r="V2348" s="269" t="e">
        <f>IF(C2348="",NA(),MATCH($B2348&amp;$C2348,'Smelter Look-up'!$J:$J,0))</f>
        <v>#N/A</v>
      </c>
      <c r="W2348" s="270"/>
      <c r="X2348" s="270">
        <f t="shared" ca="1" si="112"/>
        <v>0</v>
      </c>
      <c r="Y2348" s="270"/>
      <c r="Z2348" s="270"/>
      <c r="AB2348" s="272" t="str">
        <f t="shared" si="113"/>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1"/>
        <v/>
      </c>
      <c r="T2349" s="224" t="str">
        <f ca="1">IF(B2349="","",IF(ISERROR(MATCH($J2349,SorP!$B$1:$B$6230,0)),"",INDIRECT("'SorP'!$A$"&amp;MATCH($J2349,SorP!$B$1:$B$6230,0))))</f>
        <v/>
      </c>
      <c r="U2349" s="239"/>
      <c r="V2349" s="269" t="e">
        <f>IF(C2349="",NA(),MATCH($B2349&amp;$C2349,'Smelter Look-up'!$J:$J,0))</f>
        <v>#N/A</v>
      </c>
      <c r="W2349" s="270"/>
      <c r="X2349" s="270">
        <f t="shared" ca="1" si="112"/>
        <v>0</v>
      </c>
      <c r="Y2349" s="270"/>
      <c r="Z2349" s="270"/>
      <c r="AB2349" s="272" t="str">
        <f t="shared" si="113"/>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1"/>
        <v/>
      </c>
      <c r="T2350" s="224" t="str">
        <f ca="1">IF(B2350="","",IF(ISERROR(MATCH($J2350,SorP!$B$1:$B$6230,0)),"",INDIRECT("'SorP'!$A$"&amp;MATCH($J2350,SorP!$B$1:$B$6230,0))))</f>
        <v/>
      </c>
      <c r="U2350" s="239"/>
      <c r="V2350" s="269" t="e">
        <f>IF(C2350="",NA(),MATCH($B2350&amp;$C2350,'Smelter Look-up'!$J:$J,0))</f>
        <v>#N/A</v>
      </c>
      <c r="W2350" s="270"/>
      <c r="X2350" s="270">
        <f t="shared" ca="1" si="112"/>
        <v>0</v>
      </c>
      <c r="Y2350" s="270"/>
      <c r="Z2350" s="270"/>
      <c r="AB2350" s="272" t="str">
        <f t="shared" si="113"/>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1"/>
        <v/>
      </c>
      <c r="T2351" s="224" t="str">
        <f ca="1">IF(B2351="","",IF(ISERROR(MATCH($J2351,SorP!$B$1:$B$6230,0)),"",INDIRECT("'SorP'!$A$"&amp;MATCH($J2351,SorP!$B$1:$B$6230,0))))</f>
        <v/>
      </c>
      <c r="U2351" s="239"/>
      <c r="V2351" s="269" t="e">
        <f>IF(C2351="",NA(),MATCH($B2351&amp;$C2351,'Smelter Look-up'!$J:$J,0))</f>
        <v>#N/A</v>
      </c>
      <c r="W2351" s="270"/>
      <c r="X2351" s="270">
        <f t="shared" ca="1" si="112"/>
        <v>0</v>
      </c>
      <c r="Y2351" s="270"/>
      <c r="Z2351" s="270"/>
      <c r="AB2351" s="272" t="str">
        <f t="shared" si="113"/>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1"/>
        <v/>
      </c>
      <c r="T2352" s="224" t="str">
        <f ca="1">IF(B2352="","",IF(ISERROR(MATCH($J2352,SorP!$B$1:$B$6230,0)),"",INDIRECT("'SorP'!$A$"&amp;MATCH($J2352,SorP!$B$1:$B$6230,0))))</f>
        <v/>
      </c>
      <c r="U2352" s="239"/>
      <c r="V2352" s="269" t="e">
        <f>IF(C2352="",NA(),MATCH($B2352&amp;$C2352,'Smelter Look-up'!$J:$J,0))</f>
        <v>#N/A</v>
      </c>
      <c r="W2352" s="270"/>
      <c r="X2352" s="270">
        <f t="shared" ca="1" si="112"/>
        <v>0</v>
      </c>
      <c r="Y2352" s="270"/>
      <c r="Z2352" s="270"/>
      <c r="AB2352" s="272" t="str">
        <f t="shared" si="113"/>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1"/>
        <v/>
      </c>
      <c r="T2353" s="224" t="str">
        <f ca="1">IF(B2353="","",IF(ISERROR(MATCH($J2353,SorP!$B$1:$B$6230,0)),"",INDIRECT("'SorP'!$A$"&amp;MATCH($J2353,SorP!$B$1:$B$6230,0))))</f>
        <v/>
      </c>
      <c r="U2353" s="239"/>
      <c r="V2353" s="269" t="e">
        <f>IF(C2353="",NA(),MATCH($B2353&amp;$C2353,'Smelter Look-up'!$J:$J,0))</f>
        <v>#N/A</v>
      </c>
      <c r="W2353" s="270"/>
      <c r="X2353" s="270">
        <f t="shared" ca="1" si="112"/>
        <v>0</v>
      </c>
      <c r="Y2353" s="270"/>
      <c r="Z2353" s="270"/>
      <c r="AB2353" s="272" t="str">
        <f t="shared" si="113"/>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1"/>
        <v/>
      </c>
      <c r="T2354" s="224" t="str">
        <f ca="1">IF(B2354="","",IF(ISERROR(MATCH($J2354,SorP!$B$1:$B$6230,0)),"",INDIRECT("'SorP'!$A$"&amp;MATCH($J2354,SorP!$B$1:$B$6230,0))))</f>
        <v/>
      </c>
      <c r="U2354" s="239"/>
      <c r="V2354" s="269" t="e">
        <f>IF(C2354="",NA(),MATCH($B2354&amp;$C2354,'Smelter Look-up'!$J:$J,0))</f>
        <v>#N/A</v>
      </c>
      <c r="W2354" s="270"/>
      <c r="X2354" s="270">
        <f t="shared" ca="1" si="112"/>
        <v>0</v>
      </c>
      <c r="Y2354" s="270"/>
      <c r="Z2354" s="270"/>
      <c r="AB2354" s="272" t="str">
        <f t="shared" si="113"/>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1"/>
        <v/>
      </c>
      <c r="T2355" s="224" t="str">
        <f ca="1">IF(B2355="","",IF(ISERROR(MATCH($J2355,SorP!$B$1:$B$6230,0)),"",INDIRECT("'SorP'!$A$"&amp;MATCH($J2355,SorP!$B$1:$B$6230,0))))</f>
        <v/>
      </c>
      <c r="U2355" s="239"/>
      <c r="V2355" s="269" t="e">
        <f>IF(C2355="",NA(),MATCH($B2355&amp;$C2355,'Smelter Look-up'!$J:$J,0))</f>
        <v>#N/A</v>
      </c>
      <c r="W2355" s="270"/>
      <c r="X2355" s="270">
        <f t="shared" ca="1" si="112"/>
        <v>0</v>
      </c>
      <c r="Y2355" s="270"/>
      <c r="Z2355" s="270"/>
      <c r="AB2355" s="272" t="str">
        <f t="shared" si="113"/>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1"/>
        <v/>
      </c>
      <c r="T2356" s="224" t="str">
        <f ca="1">IF(B2356="","",IF(ISERROR(MATCH($J2356,SorP!$B$1:$B$6230,0)),"",INDIRECT("'SorP'!$A$"&amp;MATCH($J2356,SorP!$B$1:$B$6230,0))))</f>
        <v/>
      </c>
      <c r="U2356" s="239"/>
      <c r="V2356" s="269" t="e">
        <f>IF(C2356="",NA(),MATCH($B2356&amp;$C2356,'Smelter Look-up'!$J:$J,0))</f>
        <v>#N/A</v>
      </c>
      <c r="W2356" s="270"/>
      <c r="X2356" s="270">
        <f t="shared" ca="1" si="112"/>
        <v>0</v>
      </c>
      <c r="Y2356" s="270"/>
      <c r="Z2356" s="270"/>
      <c r="AB2356" s="272" t="str">
        <f t="shared" si="113"/>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1"/>
        <v/>
      </c>
      <c r="T2357" s="224" t="str">
        <f ca="1">IF(B2357="","",IF(ISERROR(MATCH($J2357,SorP!$B$1:$B$6230,0)),"",INDIRECT("'SorP'!$A$"&amp;MATCH($J2357,SorP!$B$1:$B$6230,0))))</f>
        <v/>
      </c>
      <c r="U2357" s="239"/>
      <c r="V2357" s="269" t="e">
        <f>IF(C2357="",NA(),MATCH($B2357&amp;$C2357,'Smelter Look-up'!$J:$J,0))</f>
        <v>#N/A</v>
      </c>
      <c r="W2357" s="270"/>
      <c r="X2357" s="270">
        <f t="shared" ca="1" si="112"/>
        <v>0</v>
      </c>
      <c r="Y2357" s="270"/>
      <c r="Z2357" s="270"/>
      <c r="AB2357" s="272" t="str">
        <f t="shared" si="113"/>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1"/>
        <v/>
      </c>
      <c r="T2358" s="224" t="str">
        <f ca="1">IF(B2358="","",IF(ISERROR(MATCH($J2358,SorP!$B$1:$B$6230,0)),"",INDIRECT("'SorP'!$A$"&amp;MATCH($J2358,SorP!$B$1:$B$6230,0))))</f>
        <v/>
      </c>
      <c r="U2358" s="239"/>
      <c r="V2358" s="269" t="e">
        <f>IF(C2358="",NA(),MATCH($B2358&amp;$C2358,'Smelter Look-up'!$J:$J,0))</f>
        <v>#N/A</v>
      </c>
      <c r="W2358" s="270"/>
      <c r="X2358" s="270">
        <f t="shared" ca="1" si="112"/>
        <v>0</v>
      </c>
      <c r="Y2358" s="270"/>
      <c r="Z2358" s="270"/>
      <c r="AB2358" s="272" t="str">
        <f t="shared" si="113"/>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1"/>
        <v/>
      </c>
      <c r="T2359" s="224" t="str">
        <f ca="1">IF(B2359="","",IF(ISERROR(MATCH($J2359,SorP!$B$1:$B$6230,0)),"",INDIRECT("'SorP'!$A$"&amp;MATCH($J2359,SorP!$B$1:$B$6230,0))))</f>
        <v/>
      </c>
      <c r="U2359" s="239"/>
      <c r="V2359" s="269" t="e">
        <f>IF(C2359="",NA(),MATCH($B2359&amp;$C2359,'Smelter Look-up'!$J:$J,0))</f>
        <v>#N/A</v>
      </c>
      <c r="W2359" s="270"/>
      <c r="X2359" s="270">
        <f t="shared" ca="1" si="112"/>
        <v>0</v>
      </c>
      <c r="Y2359" s="270"/>
      <c r="Z2359" s="270"/>
      <c r="AB2359" s="272" t="str">
        <f t="shared" si="113"/>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1"/>
        <v/>
      </c>
      <c r="T2360" s="224" t="str">
        <f ca="1">IF(B2360="","",IF(ISERROR(MATCH($J2360,SorP!$B$1:$B$6230,0)),"",INDIRECT("'SorP'!$A$"&amp;MATCH($J2360,SorP!$B$1:$B$6230,0))))</f>
        <v/>
      </c>
      <c r="U2360" s="239"/>
      <c r="V2360" s="269" t="e">
        <f>IF(C2360="",NA(),MATCH($B2360&amp;$C2360,'Smelter Look-up'!$J:$J,0))</f>
        <v>#N/A</v>
      </c>
      <c r="W2360" s="270"/>
      <c r="X2360" s="270">
        <f t="shared" ca="1" si="112"/>
        <v>0</v>
      </c>
      <c r="Y2360" s="270"/>
      <c r="Z2360" s="270"/>
      <c r="AB2360" s="272" t="str">
        <f t="shared" si="113"/>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1"/>
        <v/>
      </c>
      <c r="T2361" s="224" t="str">
        <f ca="1">IF(B2361="","",IF(ISERROR(MATCH($J2361,SorP!$B$1:$B$6230,0)),"",INDIRECT("'SorP'!$A$"&amp;MATCH($J2361,SorP!$B$1:$B$6230,0))))</f>
        <v/>
      </c>
      <c r="U2361" s="239"/>
      <c r="V2361" s="269" t="e">
        <f>IF(C2361="",NA(),MATCH($B2361&amp;$C2361,'Smelter Look-up'!$J:$J,0))</f>
        <v>#N/A</v>
      </c>
      <c r="W2361" s="270"/>
      <c r="X2361" s="270">
        <f t="shared" ca="1" si="112"/>
        <v>0</v>
      </c>
      <c r="Y2361" s="270"/>
      <c r="Z2361" s="270"/>
      <c r="AB2361" s="272" t="str">
        <f t="shared" si="113"/>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1"/>
        <v/>
      </c>
      <c r="T2362" s="224" t="str">
        <f ca="1">IF(B2362="","",IF(ISERROR(MATCH($J2362,SorP!$B$1:$B$6230,0)),"",INDIRECT("'SorP'!$A$"&amp;MATCH($J2362,SorP!$B$1:$B$6230,0))))</f>
        <v/>
      </c>
      <c r="U2362" s="239"/>
      <c r="V2362" s="269" t="e">
        <f>IF(C2362="",NA(),MATCH($B2362&amp;$C2362,'Smelter Look-up'!$J:$J,0))</f>
        <v>#N/A</v>
      </c>
      <c r="W2362" s="270"/>
      <c r="X2362" s="270">
        <f t="shared" ca="1" si="112"/>
        <v>0</v>
      </c>
      <c r="Y2362" s="270"/>
      <c r="Z2362" s="270"/>
      <c r="AB2362" s="272" t="str">
        <f t="shared" si="113"/>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4">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5">IF(AND(C2363="Smelter not listed",OR(LEN(D2363)=0,LEN(E2363)=0)),1,0)</f>
        <v>0</v>
      </c>
      <c r="Y2363" s="270"/>
      <c r="Z2363" s="270"/>
      <c r="AB2363" s="272" t="str">
        <f t="shared" ref="AB2363:AB2426" si="116">B2363&amp;C2363</f>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4"/>
        <v/>
      </c>
      <c r="T2412" s="224" t="str">
        <f ca="1">IF(B2412="","",IF(ISERROR(MATCH($J2412,SorP!$B$1:$B$6230,0)),"",INDIRECT("'SorP'!$A$"&amp;MATCH($J2412,SorP!$B$1:$B$6230,0))))</f>
        <v/>
      </c>
      <c r="U2412" s="239"/>
      <c r="V2412" s="269" t="e">
        <f>IF(C2412="",NA(),MATCH($B2412&amp;$C2412,'Smelter Look-up'!$J:$J,0))</f>
        <v>#N/A</v>
      </c>
      <c r="W2412" s="270"/>
      <c r="X2412" s="270">
        <f t="shared" ca="1" si="115"/>
        <v>0</v>
      </c>
      <c r="Y2412" s="270"/>
      <c r="Z2412" s="270"/>
      <c r="AB2412" s="272" t="str">
        <f t="shared" si="116"/>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4"/>
        <v/>
      </c>
      <c r="T2413" s="224" t="str">
        <f ca="1">IF(B2413="","",IF(ISERROR(MATCH($J2413,SorP!$B$1:$B$6230,0)),"",INDIRECT("'SorP'!$A$"&amp;MATCH($J2413,SorP!$B$1:$B$6230,0))))</f>
        <v/>
      </c>
      <c r="U2413" s="239"/>
      <c r="V2413" s="269" t="e">
        <f>IF(C2413="",NA(),MATCH($B2413&amp;$C2413,'Smelter Look-up'!$J:$J,0))</f>
        <v>#N/A</v>
      </c>
      <c r="W2413" s="270"/>
      <c r="X2413" s="270">
        <f t="shared" ca="1" si="115"/>
        <v>0</v>
      </c>
      <c r="Y2413" s="270"/>
      <c r="Z2413" s="270"/>
      <c r="AB2413" s="272" t="str">
        <f t="shared" si="116"/>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4"/>
        <v/>
      </c>
      <c r="T2414" s="224" t="str">
        <f ca="1">IF(B2414="","",IF(ISERROR(MATCH($J2414,SorP!$B$1:$B$6230,0)),"",INDIRECT("'SorP'!$A$"&amp;MATCH($J2414,SorP!$B$1:$B$6230,0))))</f>
        <v/>
      </c>
      <c r="U2414" s="239"/>
      <c r="V2414" s="269" t="e">
        <f>IF(C2414="",NA(),MATCH($B2414&amp;$C2414,'Smelter Look-up'!$J:$J,0))</f>
        <v>#N/A</v>
      </c>
      <c r="W2414" s="270"/>
      <c r="X2414" s="270">
        <f t="shared" ca="1" si="115"/>
        <v>0</v>
      </c>
      <c r="Y2414" s="270"/>
      <c r="Z2414" s="270"/>
      <c r="AB2414" s="272" t="str">
        <f t="shared" si="116"/>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4"/>
        <v/>
      </c>
      <c r="T2415" s="224" t="str">
        <f ca="1">IF(B2415="","",IF(ISERROR(MATCH($J2415,SorP!$B$1:$B$6230,0)),"",INDIRECT("'SorP'!$A$"&amp;MATCH($J2415,SorP!$B$1:$B$6230,0))))</f>
        <v/>
      </c>
      <c r="U2415" s="239"/>
      <c r="V2415" s="269" t="e">
        <f>IF(C2415="",NA(),MATCH($B2415&amp;$C2415,'Smelter Look-up'!$J:$J,0))</f>
        <v>#N/A</v>
      </c>
      <c r="W2415" s="270"/>
      <c r="X2415" s="270">
        <f t="shared" ca="1" si="115"/>
        <v>0</v>
      </c>
      <c r="Y2415" s="270"/>
      <c r="Z2415" s="270"/>
      <c r="AB2415" s="272" t="str">
        <f t="shared" si="116"/>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4"/>
        <v/>
      </c>
      <c r="T2416" s="224" t="str">
        <f ca="1">IF(B2416="","",IF(ISERROR(MATCH($J2416,SorP!$B$1:$B$6230,0)),"",INDIRECT("'SorP'!$A$"&amp;MATCH($J2416,SorP!$B$1:$B$6230,0))))</f>
        <v/>
      </c>
      <c r="U2416" s="239"/>
      <c r="V2416" s="269" t="e">
        <f>IF(C2416="",NA(),MATCH($B2416&amp;$C2416,'Smelter Look-up'!$J:$J,0))</f>
        <v>#N/A</v>
      </c>
      <c r="W2416" s="270"/>
      <c r="X2416" s="270">
        <f t="shared" ca="1" si="115"/>
        <v>0</v>
      </c>
      <c r="Y2416" s="270"/>
      <c r="Z2416" s="270"/>
      <c r="AB2416" s="272" t="str">
        <f t="shared" si="116"/>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4"/>
        <v/>
      </c>
      <c r="T2417" s="224" t="str">
        <f ca="1">IF(B2417="","",IF(ISERROR(MATCH($J2417,SorP!$B$1:$B$6230,0)),"",INDIRECT("'SorP'!$A$"&amp;MATCH($J2417,SorP!$B$1:$B$6230,0))))</f>
        <v/>
      </c>
      <c r="U2417" s="239"/>
      <c r="V2417" s="269" t="e">
        <f>IF(C2417="",NA(),MATCH($B2417&amp;$C2417,'Smelter Look-up'!$J:$J,0))</f>
        <v>#N/A</v>
      </c>
      <c r="W2417" s="270"/>
      <c r="X2417" s="270">
        <f t="shared" ca="1" si="115"/>
        <v>0</v>
      </c>
      <c r="Y2417" s="270"/>
      <c r="Z2417" s="270"/>
      <c r="AB2417" s="272" t="str">
        <f t="shared" si="116"/>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4"/>
        <v/>
      </c>
      <c r="T2418" s="224" t="str">
        <f ca="1">IF(B2418="","",IF(ISERROR(MATCH($J2418,SorP!$B$1:$B$6230,0)),"",INDIRECT("'SorP'!$A$"&amp;MATCH($J2418,SorP!$B$1:$B$6230,0))))</f>
        <v/>
      </c>
      <c r="U2418" s="239"/>
      <c r="V2418" s="269" t="e">
        <f>IF(C2418="",NA(),MATCH($B2418&amp;$C2418,'Smelter Look-up'!$J:$J,0))</f>
        <v>#N/A</v>
      </c>
      <c r="W2418" s="270"/>
      <c r="X2418" s="270">
        <f t="shared" ca="1" si="115"/>
        <v>0</v>
      </c>
      <c r="Y2418" s="270"/>
      <c r="Z2418" s="270"/>
      <c r="AB2418" s="272" t="str">
        <f t="shared" si="116"/>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4"/>
        <v/>
      </c>
      <c r="T2419" s="224" t="str">
        <f ca="1">IF(B2419="","",IF(ISERROR(MATCH($J2419,SorP!$B$1:$B$6230,0)),"",INDIRECT("'SorP'!$A$"&amp;MATCH($J2419,SorP!$B$1:$B$6230,0))))</f>
        <v/>
      </c>
      <c r="U2419" s="239"/>
      <c r="V2419" s="269" t="e">
        <f>IF(C2419="",NA(),MATCH($B2419&amp;$C2419,'Smelter Look-up'!$J:$J,0))</f>
        <v>#N/A</v>
      </c>
      <c r="W2419" s="270"/>
      <c r="X2419" s="270">
        <f t="shared" ca="1" si="115"/>
        <v>0</v>
      </c>
      <c r="Y2419" s="270"/>
      <c r="Z2419" s="270"/>
      <c r="AB2419" s="272" t="str">
        <f t="shared" si="116"/>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4"/>
        <v/>
      </c>
      <c r="T2420" s="224" t="str">
        <f ca="1">IF(B2420="","",IF(ISERROR(MATCH($J2420,SorP!$B$1:$B$6230,0)),"",INDIRECT("'SorP'!$A$"&amp;MATCH($J2420,SorP!$B$1:$B$6230,0))))</f>
        <v/>
      </c>
      <c r="U2420" s="239"/>
      <c r="V2420" s="269" t="e">
        <f>IF(C2420="",NA(),MATCH($B2420&amp;$C2420,'Smelter Look-up'!$J:$J,0))</f>
        <v>#N/A</v>
      </c>
      <c r="W2420" s="270"/>
      <c r="X2420" s="270">
        <f t="shared" ca="1" si="115"/>
        <v>0</v>
      </c>
      <c r="Y2420" s="270"/>
      <c r="Z2420" s="270"/>
      <c r="AB2420" s="272" t="str">
        <f t="shared" si="116"/>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4"/>
        <v/>
      </c>
      <c r="T2421" s="224" t="str">
        <f ca="1">IF(B2421="","",IF(ISERROR(MATCH($J2421,SorP!$B$1:$B$6230,0)),"",INDIRECT("'SorP'!$A$"&amp;MATCH($J2421,SorP!$B$1:$B$6230,0))))</f>
        <v/>
      </c>
      <c r="U2421" s="239"/>
      <c r="V2421" s="269" t="e">
        <f>IF(C2421="",NA(),MATCH($B2421&amp;$C2421,'Smelter Look-up'!$J:$J,0))</f>
        <v>#N/A</v>
      </c>
      <c r="W2421" s="270"/>
      <c r="X2421" s="270">
        <f t="shared" ca="1" si="115"/>
        <v>0</v>
      </c>
      <c r="Y2421" s="270"/>
      <c r="Z2421" s="270"/>
      <c r="AB2421" s="272" t="str">
        <f t="shared" si="116"/>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4"/>
        <v/>
      </c>
      <c r="T2422" s="224" t="str">
        <f ca="1">IF(B2422="","",IF(ISERROR(MATCH($J2422,SorP!$B$1:$B$6230,0)),"",INDIRECT("'SorP'!$A$"&amp;MATCH($J2422,SorP!$B$1:$B$6230,0))))</f>
        <v/>
      </c>
      <c r="U2422" s="239"/>
      <c r="V2422" s="269" t="e">
        <f>IF(C2422="",NA(),MATCH($B2422&amp;$C2422,'Smelter Look-up'!$J:$J,0))</f>
        <v>#N/A</v>
      </c>
      <c r="W2422" s="270"/>
      <c r="X2422" s="270">
        <f t="shared" ca="1" si="115"/>
        <v>0</v>
      </c>
      <c r="Y2422" s="270"/>
      <c r="Z2422" s="270"/>
      <c r="AB2422" s="272" t="str">
        <f t="shared" si="116"/>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4"/>
        <v/>
      </c>
      <c r="T2423" s="224" t="str">
        <f ca="1">IF(B2423="","",IF(ISERROR(MATCH($J2423,SorP!$B$1:$B$6230,0)),"",INDIRECT("'SorP'!$A$"&amp;MATCH($J2423,SorP!$B$1:$B$6230,0))))</f>
        <v/>
      </c>
      <c r="U2423" s="239"/>
      <c r="V2423" s="269" t="e">
        <f>IF(C2423="",NA(),MATCH($B2423&amp;$C2423,'Smelter Look-up'!$J:$J,0))</f>
        <v>#N/A</v>
      </c>
      <c r="W2423" s="270"/>
      <c r="X2423" s="270">
        <f t="shared" ca="1" si="115"/>
        <v>0</v>
      </c>
      <c r="Y2423" s="270"/>
      <c r="Z2423" s="270"/>
      <c r="AB2423" s="272" t="str">
        <f t="shared" si="116"/>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4"/>
        <v/>
      </c>
      <c r="T2424" s="224" t="str">
        <f ca="1">IF(B2424="","",IF(ISERROR(MATCH($J2424,SorP!$B$1:$B$6230,0)),"",INDIRECT("'SorP'!$A$"&amp;MATCH($J2424,SorP!$B$1:$B$6230,0))))</f>
        <v/>
      </c>
      <c r="U2424" s="239"/>
      <c r="V2424" s="269" t="e">
        <f>IF(C2424="",NA(),MATCH($B2424&amp;$C2424,'Smelter Look-up'!$J:$J,0))</f>
        <v>#N/A</v>
      </c>
      <c r="W2424" s="270"/>
      <c r="X2424" s="270">
        <f t="shared" ca="1" si="115"/>
        <v>0</v>
      </c>
      <c r="Y2424" s="270"/>
      <c r="Z2424" s="270"/>
      <c r="AB2424" s="272" t="str">
        <f t="shared" si="116"/>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4"/>
        <v/>
      </c>
      <c r="T2425" s="224" t="str">
        <f ca="1">IF(B2425="","",IF(ISERROR(MATCH($J2425,SorP!$B$1:$B$6230,0)),"",INDIRECT("'SorP'!$A$"&amp;MATCH($J2425,SorP!$B$1:$B$6230,0))))</f>
        <v/>
      </c>
      <c r="U2425" s="239"/>
      <c r="V2425" s="269" t="e">
        <f>IF(C2425="",NA(),MATCH($B2425&amp;$C2425,'Smelter Look-up'!$J:$J,0))</f>
        <v>#N/A</v>
      </c>
      <c r="W2425" s="270"/>
      <c r="X2425" s="270">
        <f t="shared" ca="1" si="115"/>
        <v>0</v>
      </c>
      <c r="Y2425" s="270"/>
      <c r="Z2425" s="270"/>
      <c r="AB2425" s="272" t="str">
        <f t="shared" si="116"/>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4"/>
        <v/>
      </c>
      <c r="T2426" s="224" t="str">
        <f ca="1">IF(B2426="","",IF(ISERROR(MATCH($J2426,SorP!$B$1:$B$6230,0)),"",INDIRECT("'SorP'!$A$"&amp;MATCH($J2426,SorP!$B$1:$B$6230,0))))</f>
        <v/>
      </c>
      <c r="U2426" s="239"/>
      <c r="V2426" s="269" t="e">
        <f>IF(C2426="",NA(),MATCH($B2426&amp;$C2426,'Smelter Look-up'!$J:$J,0))</f>
        <v>#N/A</v>
      </c>
      <c r="W2426" s="270"/>
      <c r="X2426" s="270">
        <f t="shared" ca="1" si="115"/>
        <v>0</v>
      </c>
      <c r="Y2426" s="270"/>
      <c r="Z2426" s="270"/>
      <c r="AB2426" s="272" t="str">
        <f t="shared" si="116"/>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17">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18">IF(AND(C2427="Smelter not listed",OR(LEN(D2427)=0,LEN(E2427)=0)),1,0)</f>
        <v>0</v>
      </c>
      <c r="Y2427" s="270"/>
      <c r="Z2427" s="270"/>
      <c r="AB2427" s="272" t="str">
        <f t="shared" ref="AB2427:AB2490" si="119">B2427&amp;C2427</f>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7"/>
        <v/>
      </c>
      <c r="T2476" s="224" t="str">
        <f ca="1">IF(B2476="","",IF(ISERROR(MATCH($J2476,SorP!$B$1:$B$6230,0)),"",INDIRECT("'SorP'!$A$"&amp;MATCH($J2476,SorP!$B$1:$B$6230,0))))</f>
        <v/>
      </c>
      <c r="U2476" s="239"/>
      <c r="V2476" s="269" t="e">
        <f>IF(C2476="",NA(),MATCH($B2476&amp;$C2476,'Smelter Look-up'!$J:$J,0))</f>
        <v>#N/A</v>
      </c>
      <c r="W2476" s="270"/>
      <c r="X2476" s="270">
        <f t="shared" ca="1" si="118"/>
        <v>0</v>
      </c>
      <c r="Y2476" s="270"/>
      <c r="Z2476" s="270"/>
      <c r="AB2476" s="272" t="str">
        <f t="shared" si="119"/>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7"/>
        <v/>
      </c>
      <c r="T2477" s="224" t="str">
        <f ca="1">IF(B2477="","",IF(ISERROR(MATCH($J2477,SorP!$B$1:$B$6230,0)),"",INDIRECT("'SorP'!$A$"&amp;MATCH($J2477,SorP!$B$1:$B$6230,0))))</f>
        <v/>
      </c>
      <c r="U2477" s="239"/>
      <c r="V2477" s="269" t="e">
        <f>IF(C2477="",NA(),MATCH($B2477&amp;$C2477,'Smelter Look-up'!$J:$J,0))</f>
        <v>#N/A</v>
      </c>
      <c r="W2477" s="270"/>
      <c r="X2477" s="270">
        <f t="shared" ca="1" si="118"/>
        <v>0</v>
      </c>
      <c r="Y2477" s="270"/>
      <c r="Z2477" s="270"/>
      <c r="AB2477" s="272" t="str">
        <f t="shared" si="119"/>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7"/>
        <v/>
      </c>
      <c r="T2478" s="224" t="str">
        <f ca="1">IF(B2478="","",IF(ISERROR(MATCH($J2478,SorP!$B$1:$B$6230,0)),"",INDIRECT("'SorP'!$A$"&amp;MATCH($J2478,SorP!$B$1:$B$6230,0))))</f>
        <v/>
      </c>
      <c r="U2478" s="239"/>
      <c r="V2478" s="269" t="e">
        <f>IF(C2478="",NA(),MATCH($B2478&amp;$C2478,'Smelter Look-up'!$J:$J,0))</f>
        <v>#N/A</v>
      </c>
      <c r="W2478" s="270"/>
      <c r="X2478" s="270">
        <f t="shared" ca="1" si="118"/>
        <v>0</v>
      </c>
      <c r="Y2478" s="270"/>
      <c r="Z2478" s="270"/>
      <c r="AB2478" s="272" t="str">
        <f t="shared" si="119"/>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7"/>
        <v/>
      </c>
      <c r="T2479" s="224" t="str">
        <f ca="1">IF(B2479="","",IF(ISERROR(MATCH($J2479,SorP!$B$1:$B$6230,0)),"",INDIRECT("'SorP'!$A$"&amp;MATCH($J2479,SorP!$B$1:$B$6230,0))))</f>
        <v/>
      </c>
      <c r="U2479" s="239"/>
      <c r="V2479" s="269" t="e">
        <f>IF(C2479="",NA(),MATCH($B2479&amp;$C2479,'Smelter Look-up'!$J:$J,0))</f>
        <v>#N/A</v>
      </c>
      <c r="W2479" s="270"/>
      <c r="X2479" s="270">
        <f t="shared" ca="1" si="118"/>
        <v>0</v>
      </c>
      <c r="Y2479" s="270"/>
      <c r="Z2479" s="270"/>
      <c r="AB2479" s="272" t="str">
        <f t="shared" si="119"/>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7"/>
        <v/>
      </c>
      <c r="T2480" s="224" t="str">
        <f ca="1">IF(B2480="","",IF(ISERROR(MATCH($J2480,SorP!$B$1:$B$6230,0)),"",INDIRECT("'SorP'!$A$"&amp;MATCH($J2480,SorP!$B$1:$B$6230,0))))</f>
        <v/>
      </c>
      <c r="U2480" s="239"/>
      <c r="V2480" s="269" t="e">
        <f>IF(C2480="",NA(),MATCH($B2480&amp;$C2480,'Smelter Look-up'!$J:$J,0))</f>
        <v>#N/A</v>
      </c>
      <c r="W2480" s="270"/>
      <c r="X2480" s="270">
        <f t="shared" ca="1" si="118"/>
        <v>0</v>
      </c>
      <c r="Y2480" s="270"/>
      <c r="Z2480" s="270"/>
      <c r="AB2480" s="272" t="str">
        <f t="shared" si="119"/>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7"/>
        <v/>
      </c>
      <c r="T2481" s="224" t="str">
        <f ca="1">IF(B2481="","",IF(ISERROR(MATCH($J2481,SorP!$B$1:$B$6230,0)),"",INDIRECT("'SorP'!$A$"&amp;MATCH($J2481,SorP!$B$1:$B$6230,0))))</f>
        <v/>
      </c>
      <c r="U2481" s="239"/>
      <c r="V2481" s="269" t="e">
        <f>IF(C2481="",NA(),MATCH($B2481&amp;$C2481,'Smelter Look-up'!$J:$J,0))</f>
        <v>#N/A</v>
      </c>
      <c r="W2481" s="270"/>
      <c r="X2481" s="270">
        <f t="shared" ca="1" si="118"/>
        <v>0</v>
      </c>
      <c r="Y2481" s="270"/>
      <c r="Z2481" s="270"/>
      <c r="AB2481" s="272" t="str">
        <f t="shared" si="119"/>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7"/>
        <v/>
      </c>
      <c r="T2482" s="224" t="str">
        <f ca="1">IF(B2482="","",IF(ISERROR(MATCH($J2482,SorP!$B$1:$B$6230,0)),"",INDIRECT("'SorP'!$A$"&amp;MATCH($J2482,SorP!$B$1:$B$6230,0))))</f>
        <v/>
      </c>
      <c r="U2482" s="239"/>
      <c r="V2482" s="269" t="e">
        <f>IF(C2482="",NA(),MATCH($B2482&amp;$C2482,'Smelter Look-up'!$J:$J,0))</f>
        <v>#N/A</v>
      </c>
      <c r="W2482" s="270"/>
      <c r="X2482" s="270">
        <f t="shared" ca="1" si="118"/>
        <v>0</v>
      </c>
      <c r="Y2482" s="270"/>
      <c r="Z2482" s="270"/>
      <c r="AB2482" s="272" t="str">
        <f t="shared" si="119"/>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7"/>
        <v/>
      </c>
      <c r="T2483" s="224" t="str">
        <f ca="1">IF(B2483="","",IF(ISERROR(MATCH($J2483,SorP!$B$1:$B$6230,0)),"",INDIRECT("'SorP'!$A$"&amp;MATCH($J2483,SorP!$B$1:$B$6230,0))))</f>
        <v/>
      </c>
      <c r="U2483" s="239"/>
      <c r="V2483" s="269" t="e">
        <f>IF(C2483="",NA(),MATCH($B2483&amp;$C2483,'Smelter Look-up'!$J:$J,0))</f>
        <v>#N/A</v>
      </c>
      <c r="W2483" s="270"/>
      <c r="X2483" s="270">
        <f t="shared" ca="1" si="118"/>
        <v>0</v>
      </c>
      <c r="Y2483" s="270"/>
      <c r="Z2483" s="270"/>
      <c r="AB2483" s="272" t="str">
        <f t="shared" si="119"/>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7"/>
        <v/>
      </c>
      <c r="T2484" s="224" t="str">
        <f ca="1">IF(B2484="","",IF(ISERROR(MATCH($J2484,SorP!$B$1:$B$6230,0)),"",INDIRECT("'SorP'!$A$"&amp;MATCH($J2484,SorP!$B$1:$B$6230,0))))</f>
        <v/>
      </c>
      <c r="U2484" s="239"/>
      <c r="V2484" s="269" t="e">
        <f>IF(C2484="",NA(),MATCH($B2484&amp;$C2484,'Smelter Look-up'!$J:$J,0))</f>
        <v>#N/A</v>
      </c>
      <c r="W2484" s="270"/>
      <c r="X2484" s="270">
        <f t="shared" ca="1" si="118"/>
        <v>0</v>
      </c>
      <c r="Y2484" s="270"/>
      <c r="Z2484" s="270"/>
      <c r="AB2484" s="272" t="str">
        <f t="shared" si="119"/>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7"/>
        <v/>
      </c>
      <c r="T2485" s="224" t="str">
        <f ca="1">IF(B2485="","",IF(ISERROR(MATCH($J2485,SorP!$B$1:$B$6230,0)),"",INDIRECT("'SorP'!$A$"&amp;MATCH($J2485,SorP!$B$1:$B$6230,0))))</f>
        <v/>
      </c>
      <c r="U2485" s="239"/>
      <c r="V2485" s="269" t="e">
        <f>IF(C2485="",NA(),MATCH($B2485&amp;$C2485,'Smelter Look-up'!$J:$J,0))</f>
        <v>#N/A</v>
      </c>
      <c r="W2485" s="270"/>
      <c r="X2485" s="270">
        <f t="shared" ca="1" si="118"/>
        <v>0</v>
      </c>
      <c r="Y2485" s="270"/>
      <c r="Z2485" s="270"/>
      <c r="AB2485" s="272" t="str">
        <f t="shared" si="119"/>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7"/>
        <v/>
      </c>
      <c r="T2486" s="224" t="str">
        <f ca="1">IF(B2486="","",IF(ISERROR(MATCH($J2486,SorP!$B$1:$B$6230,0)),"",INDIRECT("'SorP'!$A$"&amp;MATCH($J2486,SorP!$B$1:$B$6230,0))))</f>
        <v/>
      </c>
      <c r="U2486" s="239"/>
      <c r="V2486" s="269" t="e">
        <f>IF(C2486="",NA(),MATCH($B2486&amp;$C2486,'Smelter Look-up'!$J:$J,0))</f>
        <v>#N/A</v>
      </c>
      <c r="W2486" s="270"/>
      <c r="X2486" s="270">
        <f t="shared" ca="1" si="118"/>
        <v>0</v>
      </c>
      <c r="Y2486" s="270"/>
      <c r="Z2486" s="270"/>
      <c r="AB2486" s="272" t="str">
        <f t="shared" si="119"/>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7"/>
        <v/>
      </c>
      <c r="T2487" s="224" t="str">
        <f ca="1">IF(B2487="","",IF(ISERROR(MATCH($J2487,SorP!$B$1:$B$6230,0)),"",INDIRECT("'SorP'!$A$"&amp;MATCH($J2487,SorP!$B$1:$B$6230,0))))</f>
        <v/>
      </c>
      <c r="U2487" s="239"/>
      <c r="V2487" s="269" t="e">
        <f>IF(C2487="",NA(),MATCH($B2487&amp;$C2487,'Smelter Look-up'!$J:$J,0))</f>
        <v>#N/A</v>
      </c>
      <c r="W2487" s="270"/>
      <c r="X2487" s="270">
        <f t="shared" ca="1" si="118"/>
        <v>0</v>
      </c>
      <c r="Y2487" s="270"/>
      <c r="Z2487" s="270"/>
      <c r="AB2487" s="272" t="str">
        <f t="shared" si="119"/>
        <v/>
      </c>
    </row>
    <row r="2488" spans="1:28" s="271" customFormat="1" ht="20.25">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7"/>
        <v/>
      </c>
      <c r="T2488" s="224" t="str">
        <f ca="1">IF(B2488="","",IF(ISERROR(MATCH($J2488,SorP!$B$1:$B$6230,0)),"",INDIRECT("'SorP'!$A$"&amp;MATCH($J2488,SorP!$B$1:$B$6230,0))))</f>
        <v/>
      </c>
      <c r="U2488" s="239"/>
      <c r="V2488" s="269" t="e">
        <f>IF(C2488="",NA(),MATCH($B2488&amp;$C2488,'Smelter Look-up'!$J:$J,0))</f>
        <v>#N/A</v>
      </c>
      <c r="W2488" s="270"/>
      <c r="X2488" s="270">
        <f t="shared" ca="1" si="118"/>
        <v>0</v>
      </c>
      <c r="Y2488" s="270"/>
      <c r="Z2488" s="270"/>
      <c r="AB2488" s="272" t="str">
        <f t="shared" si="119"/>
        <v/>
      </c>
    </row>
    <row r="2489" spans="1:28" s="271" customFormat="1" ht="20.25">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17"/>
        <v/>
      </c>
      <c r="T2489" s="224" t="str">
        <f ca="1">IF(B2489="","",IF(ISERROR(MATCH($J2489,SorP!$B$1:$B$6230,0)),"",INDIRECT("'SorP'!$A$"&amp;MATCH($J2489,SorP!$B$1:$B$6230,0))))</f>
        <v/>
      </c>
      <c r="U2489" s="239"/>
      <c r="V2489" s="269" t="e">
        <f>IF(C2489="",NA(),MATCH($B2489&amp;$C2489,'Smelter Look-up'!$J:$J,0))</f>
        <v>#N/A</v>
      </c>
      <c r="W2489" s="270"/>
      <c r="X2489" s="270">
        <f t="shared" ca="1" si="118"/>
        <v>0</v>
      </c>
      <c r="Y2489" s="270"/>
      <c r="Z2489" s="270"/>
      <c r="AB2489" s="272" t="str">
        <f t="shared" si="119"/>
        <v/>
      </c>
    </row>
    <row r="2490" spans="1:28" s="271" customFormat="1" ht="20.25">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17"/>
        <v/>
      </c>
      <c r="T2490" s="224" t="str">
        <f ca="1">IF(B2490="","",IF(ISERROR(MATCH($J2490,SorP!$B$1:$B$6230,0)),"",INDIRECT("'SorP'!$A$"&amp;MATCH($J2490,SorP!$B$1:$B$6230,0))))</f>
        <v/>
      </c>
      <c r="U2490" s="239"/>
      <c r="V2490" s="269" t="e">
        <f>IF(C2490="",NA(),MATCH($B2490&amp;$C2490,'Smelter Look-up'!$J:$J,0))</f>
        <v>#N/A</v>
      </c>
      <c r="W2490" s="270"/>
      <c r="X2490" s="270">
        <f t="shared" ca="1" si="118"/>
        <v>0</v>
      </c>
      <c r="Y2490" s="270"/>
      <c r="Z2490" s="270"/>
      <c r="AB2490" s="272" t="str">
        <f t="shared" si="119"/>
        <v/>
      </c>
    </row>
    <row r="2491" spans="1:28" s="271" customFormat="1" ht="20.25">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0">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1">B2491&amp;C2491</f>
        <v/>
      </c>
    </row>
    <row r="2492" spans="1:28" s="271" customFormat="1" ht="20.25">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0"/>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1"/>
        <v/>
      </c>
    </row>
    <row r="2493" spans="1:28" s="271" customFormat="1" ht="20.25">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0"/>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1"/>
        <v/>
      </c>
    </row>
    <row r="2494" spans="1:28" ht="13.5"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0"/>
        <v/>
      </c>
      <c r="T2494" s="224" t="str">
        <f ca="1">IF(B2494="","",IF(ISERROR(MATCH($J2494,SorP!$B$1:$B$6230,0)),"",INDIRECT("'SorP'!$A$"&amp;MATCH($J2494,SorP!$B$1:$B$6230,0))))</f>
        <v/>
      </c>
      <c r="AB2494" s="271" t="str">
        <f>B2494&amp;C2494</f>
        <v/>
      </c>
    </row>
    <row r="2495" spans="1:28" ht="13.5"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586:B2493">
    <cfRule type="expression" dxfId="43" priority="28" stopIfTrue="1">
      <formula>IF(B586="",TRUE)</formula>
    </cfRule>
    <cfRule type="expression" dxfId="42" priority="39" stopIfTrue="1">
      <formula>IF(AND(COUNTIF(MetalSmelter,B586&amp;C586)=0,LEN(C586)&gt;0), TRUE, FALSE)</formula>
    </cfRule>
  </conditionalFormatting>
  <conditionalFormatting sqref="D586:D2493">
    <cfRule type="expression" dxfId="41" priority="22" stopIfTrue="1">
      <formula>IF(AND(LEN($C586) &gt;0, ($C586 &lt;&gt; "Smelter Not Listed")),1,0)</formula>
    </cfRule>
    <cfRule type="expression" dxfId="40" priority="47" stopIfTrue="1">
      <formula>IF(AND(D586="",$C586=$X$4),TRUE)</formula>
    </cfRule>
    <cfRule type="expression" dxfId="39" priority="48" stopIfTrue="1">
      <formula>IF(FIND("!",D586),TRUE)</formula>
    </cfRule>
  </conditionalFormatting>
  <conditionalFormatting sqref="G586:G2493">
    <cfRule type="expression" dxfId="38" priority="49" stopIfTrue="1">
      <formula>IF(FIND("Enter smelter details",G586),TRUE)</formula>
    </cfRule>
  </conditionalFormatting>
  <conditionalFormatting sqref="R586:R2494 E586:E2493">
    <cfRule type="expression" dxfId="37" priority="35" stopIfTrue="1">
      <formula>IF(AND(E586="",$C586=$X$4),TRUE)</formula>
    </cfRule>
    <cfRule type="expression" dxfId="36" priority="36" stopIfTrue="1">
      <formula>IF(FIND("!",E586),TRUE)</formula>
    </cfRule>
  </conditionalFormatting>
  <conditionalFormatting sqref="F586:F2493">
    <cfRule type="expression" dxfId="35" priority="26" stopIfTrue="1">
      <formula>IF(AND(LEN($A586)&gt;0,$A586&lt;&gt;$F586),TRUE,FALSE)</formula>
    </cfRule>
  </conditionalFormatting>
  <conditionalFormatting sqref="C586:C2493">
    <cfRule type="expression" dxfId="34" priority="25" stopIfTrue="1">
      <formula>IF(AND(B586&lt;&gt;"",C586=""),TRUE)</formula>
    </cfRule>
  </conditionalFormatting>
  <conditionalFormatting sqref="B5:B585">
    <cfRule type="expression" dxfId="33" priority="4" stopIfTrue="1">
      <formula>IF(B5="",TRUE)</formula>
    </cfRule>
    <cfRule type="expression" dxfId="32" priority="7" stopIfTrue="1">
      <formula>IF(AND(COUNTIF(MetalSmelter,B5&amp;C5)=0,LEN(C5)&gt;0), TRUE, FALSE)</formula>
    </cfRule>
  </conditionalFormatting>
  <conditionalFormatting sqref="D5:D585">
    <cfRule type="expression" dxfId="31" priority="1" stopIfTrue="1">
      <formula>IF(AND(LEN($C5) &gt;0, ($C5 &lt;&gt; "Smelter Not Listed")),1,0)</formula>
    </cfRule>
    <cfRule type="expression" dxfId="30" priority="8" stopIfTrue="1">
      <formula>IF(AND(D5="",$C5=$X$4),TRUE)</formula>
    </cfRule>
    <cfRule type="expression" dxfId="29" priority="9" stopIfTrue="1">
      <formula>IF(FIND("!",D5),TRUE)</formula>
    </cfRule>
  </conditionalFormatting>
  <conditionalFormatting sqref="G5:G585">
    <cfRule type="expression" dxfId="28" priority="10" stopIfTrue="1">
      <formula>IF(FIND("Enter smelter details",G5),TRUE)</formula>
    </cfRule>
  </conditionalFormatting>
  <conditionalFormatting sqref="R5:R585 E5:E585">
    <cfRule type="expression" dxfId="27" priority="5" stopIfTrue="1">
      <formula>IF(AND(E5="",$C5=$X$4),TRUE)</formula>
    </cfRule>
    <cfRule type="expression" dxfId="26" priority="6" stopIfTrue="1">
      <formula>IF(FIND("!",E5),TRUE)</formula>
    </cfRule>
  </conditionalFormatting>
  <conditionalFormatting sqref="F5:F585">
    <cfRule type="expression" dxfId="25" priority="3" stopIfTrue="1">
      <formula>IF(AND(LEN($A5)&gt;0,$A5&lt;&gt;$F5),TRUE,FALSE)</formula>
    </cfRule>
  </conditionalFormatting>
  <conditionalFormatting sqref="C5:C585">
    <cfRule type="expression" dxfId="24" priority="2" stopIfTrue="1">
      <formula>IF(AND(B5&lt;&gt;"",C5=""),TRUE)</formula>
    </cfRule>
  </conditionalFormatting>
  <dataValidations count="5">
    <dataValidation type="list" allowBlank="1" showInputMessage="1" showErrorMessage="1" sqref="B5:B2493">
      <formula1>Metal</formula1>
    </dataValidation>
    <dataValidation allowBlank="1" showErrorMessage="1" sqref="F5:G2493"/>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40" t="str">
        <f ca="1">OFFSET(L!$C$1,MATCH("Checker"&amp;ADDRESS(ROW(),COLUMN(),4),L!$A:$A,0)-1,SL,,)</f>
        <v>To ensure all required fields have been populated before submitting to your customers review form for any line items highlighted in red</v>
      </c>
      <c r="B1" s="440"/>
      <c r="C1" s="440"/>
      <c r="D1" s="150" t="str">
        <f ca="1">OFFSET(L!$C$1,MATCH("Checker"&amp;ADDRESS(ROW(),COLUMN(),4),L!$A:$A,0)-1,SL,,)</f>
        <v>Required fields remaining to be completed</v>
      </c>
      <c r="E1" s="87" t="s">
        <v>917</v>
      </c>
    </row>
    <row r="2" spans="1:10" ht="15">
      <c r="A2" s="80" t="s">
        <v>1014</v>
      </c>
      <c r="B2" s="81" t="str">
        <f>IF(F62=1,"Click here to return to Smelter List","")</f>
        <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AZZ Inc. (Galvanizing Affiliates)</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t="str">
        <f>Declaration!D10</f>
        <v>Steel Galvanizing</v>
      </c>
      <c r="C6" s="105" t="str">
        <f t="shared" ca="1" si="0"/>
        <v>Complete</v>
      </c>
      <c r="D6" s="111" t="str">
        <f>IF(H6=1,"Click here to provide a Description of Scope","")</f>
        <v/>
      </c>
      <c r="E6" s="87" t="s">
        <v>1437</v>
      </c>
      <c r="F6" s="110">
        <f>IF(OR(B5=Declaration!P9,B5=Declaration!Q9,B5=0),0,1)</f>
        <v>0</v>
      </c>
      <c r="G6" s="84">
        <f t="shared" si="1"/>
        <v>0</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Bradshaw Hawkins</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bradshawhawkins@azz.com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817-810-5010</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Bradshaw Hawkins</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bradshawhawkins@azz.com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817-810-5010</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43830</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 xml:space="preserve">Tantalum  </v>
      </c>
      <c r="B15" s="105" t="str">
        <f>Declaration!D26</f>
        <v>No</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 xml:space="preserve">Tin  </v>
      </c>
      <c r="B16" s="105" t="str">
        <f>Declaration!D27</f>
        <v>No</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 xml:space="preserve">Gold  </v>
      </c>
      <c r="B17" s="105" t="str">
        <f>Declaration!D28</f>
        <v>No</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 xml:space="preserve">Tungsten  </v>
      </c>
      <c r="B18" s="105" t="str">
        <f>Declaration!D29</f>
        <v>No</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v>
      </c>
      <c r="B19" s="108"/>
      <c r="C19" s="108"/>
      <c r="D19" s="112"/>
      <c r="E19" s="87" t="s">
        <v>919</v>
      </c>
      <c r="F19" s="109"/>
      <c r="G19" s="24"/>
      <c r="H19" s="24"/>
      <c r="J19" s="182"/>
    </row>
    <row r="20" spans="1:10" ht="39">
      <c r="A20" s="106" t="str">
        <f ca="1">Declaration!B32</f>
        <v xml:space="preserve">Tantalum  </v>
      </c>
      <c r="B20" s="105">
        <f>IF($B$15="Yes",Declaration!D32,0)</f>
        <v>0</v>
      </c>
      <c r="C20" s="105" t="str">
        <f t="shared" ca="1" si="3"/>
        <v>Complete</v>
      </c>
      <c r="D20" s="113" t="str">
        <f>IF(H20=1,"Click here to answer question 2 for Tantalum","")</f>
        <v/>
      </c>
      <c r="E20" s="87" t="s">
        <v>918</v>
      </c>
      <c r="F20" s="110">
        <f>IF(B$15="No",0,1)</f>
        <v>0</v>
      </c>
      <c r="G20" s="84">
        <f t="shared" si="4"/>
        <v>1</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 xml:space="preserve">Tin  </v>
      </c>
      <c r="B21" s="105">
        <f>IF($B$16="Yes",Declaration!D33,0)</f>
        <v>0</v>
      </c>
      <c r="C21" s="105" t="str">
        <f t="shared" ca="1" si="3"/>
        <v>Complete</v>
      </c>
      <c r="D21" s="113" t="str">
        <f>IF(H21=1,"Click here to answer question 2 for Tin","")</f>
        <v/>
      </c>
      <c r="E21" s="87" t="s">
        <v>918</v>
      </c>
      <c r="F21" s="110">
        <f>IF(B$16="No",0,1)</f>
        <v>0</v>
      </c>
      <c r="G21" s="84">
        <f t="shared" si="4"/>
        <v>1</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 xml:space="preserve">Gold  </v>
      </c>
      <c r="B22" s="105">
        <f>IF($B$17="Yes",Declaration!D34,0)</f>
        <v>0</v>
      </c>
      <c r="C22" s="105" t="str">
        <f t="shared" ca="1" si="3"/>
        <v>Complete</v>
      </c>
      <c r="D22" s="113" t="str">
        <f>IF(H22=1,"Click here to answer question 2 for Gold","")</f>
        <v/>
      </c>
      <c r="E22" s="87" t="s">
        <v>918</v>
      </c>
      <c r="F22" s="110">
        <f>IF(B$17="No",0,1)</f>
        <v>0</v>
      </c>
      <c r="G22" s="84">
        <f t="shared" si="4"/>
        <v>1</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 xml:space="preserve">Tungsten  </v>
      </c>
      <c r="B23" s="105">
        <f>IF($B$18="Yes",Declaration!D35,0)</f>
        <v>0</v>
      </c>
      <c r="C23" s="105" t="str">
        <f t="shared" ca="1" si="3"/>
        <v>Complete</v>
      </c>
      <c r="D23" s="113" t="str">
        <f>IF(H23=1,"Click here to answer question 2 for Tungsten","")</f>
        <v/>
      </c>
      <c r="E23" s="87" t="s">
        <v>918</v>
      </c>
      <c r="F23" s="110">
        <f>IF(B$18="No",0,1)</f>
        <v>0</v>
      </c>
      <c r="G23" s="84">
        <f t="shared" si="4"/>
        <v>1</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v>
      </c>
      <c r="B24" s="108"/>
      <c r="C24" s="108"/>
      <c r="D24" s="112"/>
      <c r="E24" s="87" t="s">
        <v>918</v>
      </c>
      <c r="F24" s="109"/>
      <c r="G24" s="24"/>
      <c r="H24" s="24"/>
      <c r="J24" s="182"/>
    </row>
    <row r="25" spans="1:10" ht="39">
      <c r="A25" s="106" t="str">
        <f ca="1">Declaration!B38</f>
        <v xml:space="preserve">Tantalum  </v>
      </c>
      <c r="B25" s="105">
        <f>IF(AND($B$15="Yes",$B$20="Yes"),Declaration!D38,0)</f>
        <v>0</v>
      </c>
      <c r="C25" s="105" t="str">
        <f t="shared" ca="1" si="3"/>
        <v>Complete</v>
      </c>
      <c r="D25" s="113" t="str">
        <f>IF(H25=1,"Click here to answer question 3 for Tantalum","")</f>
        <v/>
      </c>
      <c r="E25" s="87" t="s">
        <v>918</v>
      </c>
      <c r="F25" s="110">
        <f>IF(OR(B15="No",B20="No"),0,1)</f>
        <v>0</v>
      </c>
      <c r="G25" s="84">
        <f t="shared" ref="G25:G60" si="5">IF(B25=0,1,0)</f>
        <v>1</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 xml:space="preserve">Tin  </v>
      </c>
      <c r="B26" s="105">
        <f>IF(AND($B$16="Yes",$B$21="Yes"),Declaration!D39,0)</f>
        <v>0</v>
      </c>
      <c r="C26" s="105" t="str">
        <f t="shared" ca="1" si="3"/>
        <v>Complete</v>
      </c>
      <c r="D26" s="113" t="str">
        <f>IF(H26=1,"Click here to answer question 3 for Tin","")</f>
        <v/>
      </c>
      <c r="E26" s="87" t="s">
        <v>918</v>
      </c>
      <c r="F26" s="110">
        <f>IF(OR(B16="No",B21="No"),0,1)</f>
        <v>0</v>
      </c>
      <c r="G26" s="84">
        <f t="shared" si="5"/>
        <v>1</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 xml:space="preserve">Gold  </v>
      </c>
      <c r="B27" s="105">
        <f>IF(AND($B$17="Yes",$B$22="Yes"),Declaration!D40,0)</f>
        <v>0</v>
      </c>
      <c r="C27" s="105" t="str">
        <f t="shared" ca="1" si="3"/>
        <v>Complete</v>
      </c>
      <c r="D27" s="113" t="str">
        <f>IF(H27=1,"Click here to answer question 3 for Gold","")</f>
        <v/>
      </c>
      <c r="E27" s="87" t="s">
        <v>918</v>
      </c>
      <c r="F27" s="110">
        <f>IF(OR(B17="No",B22="No"),0,1)</f>
        <v>0</v>
      </c>
      <c r="G27" s="84">
        <f t="shared" si="5"/>
        <v>1</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 xml:space="preserve">Tungsten  </v>
      </c>
      <c r="B28" s="105">
        <f>IF(AND($B$18="Yes",$B$23="Yes"),Declaration!D41,0)</f>
        <v>0</v>
      </c>
      <c r="C28" s="105" t="str">
        <f t="shared" ca="1" si="3"/>
        <v>Complete</v>
      </c>
      <c r="D28" s="113" t="str">
        <f>IF(H28=1,"Click here to answer question 3 for Tungsten","")</f>
        <v/>
      </c>
      <c r="E28" s="87" t="s">
        <v>918</v>
      </c>
      <c r="F28" s="110">
        <f>IF(OR(B18="No",B23="No"),0,1)</f>
        <v>0</v>
      </c>
      <c r="G28" s="84">
        <f t="shared" si="5"/>
        <v>1</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 xml:space="preserve">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 xml:space="preserve">Tantalum  </v>
      </c>
      <c r="B30" s="105">
        <f>IF(AND($B$15="Yes",$B$20="Yes"),Declaration!D44,0)</f>
        <v>0</v>
      </c>
      <c r="C30" s="105" t="str">
        <f ca="1">IF(H30=1,J30,I30)</f>
        <v>Complete</v>
      </c>
      <c r="D30" s="113" t="str">
        <f>IF(H30=1,"Click here to answer question 4 for Tantalum","")</f>
        <v/>
      </c>
      <c r="E30" s="87" t="s">
        <v>1437</v>
      </c>
      <c r="F30" s="110">
        <f>F25</f>
        <v>0</v>
      </c>
      <c r="G30" s="84">
        <f>IF(B30=0,1,0)</f>
        <v>1</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 xml:space="preserve">Tin  </v>
      </c>
      <c r="B31" s="105">
        <f>IF(AND($B$16="Yes",$B$21="Yes"),Declaration!D45,0)</f>
        <v>0</v>
      </c>
      <c r="C31" s="105" t="str">
        <f ca="1">IF(H31=1,J31,I31)</f>
        <v>Complete</v>
      </c>
      <c r="D31" s="113" t="str">
        <f>IF(H31=1,"Click here to answer question 4 for Tin","")</f>
        <v/>
      </c>
      <c r="E31" s="87" t="s">
        <v>1437</v>
      </c>
      <c r="F31" s="110">
        <f>F26</f>
        <v>0</v>
      </c>
      <c r="G31" s="84">
        <f>IF(B31=0,1,0)</f>
        <v>1</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 xml:space="preserve">Gold  </v>
      </c>
      <c r="B32" s="105">
        <f>IF(AND($B$17="Yes",$B$22="Yes"),Declaration!D46,0)</f>
        <v>0</v>
      </c>
      <c r="C32" s="105" t="str">
        <f ca="1">IF(H32=1,J32,I32)</f>
        <v>Complete</v>
      </c>
      <c r="D32" s="113" t="str">
        <f>IF(H32=1,"Click here to answer question 4 for Gold","")</f>
        <v/>
      </c>
      <c r="E32" s="87" t="s">
        <v>1437</v>
      </c>
      <c r="F32" s="110">
        <f>F27</f>
        <v>0</v>
      </c>
      <c r="G32" s="84">
        <f>IF(B32=0,1,0)</f>
        <v>1</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 xml:space="preserve">Tungsten  </v>
      </c>
      <c r="B33" s="105">
        <f>IF(AND($B$18="Yes",$B$23="Yes"),Declaration!D47,0)</f>
        <v>0</v>
      </c>
      <c r="C33" s="105" t="str">
        <f ca="1">IF(H33=1,J33,I33)</f>
        <v>Complete</v>
      </c>
      <c r="D33" s="113" t="str">
        <f>IF(H33=1,"Click here to answer question 4 for Tungsten","")</f>
        <v/>
      </c>
      <c r="E33" s="87" t="s">
        <v>1437</v>
      </c>
      <c r="F33" s="110">
        <f>F28</f>
        <v>0</v>
      </c>
      <c r="G33" s="84">
        <f>IF(B33=0,1,0)</f>
        <v>1</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 xml:space="preserve">5) What percentage of relevant suppliers have provided a response to your supply chain survey? </v>
      </c>
      <c r="B34" s="108"/>
      <c r="C34" s="108"/>
      <c r="D34" s="112"/>
      <c r="E34" s="87" t="s">
        <v>918</v>
      </c>
      <c r="F34" s="109"/>
      <c r="G34" s="24"/>
      <c r="H34" s="24"/>
    </row>
    <row r="35" spans="1:10" ht="26.25">
      <c r="A35" s="106" t="str">
        <f ca="1">Declaration!B50</f>
        <v xml:space="preserve">Tantalum  </v>
      </c>
      <c r="B35" s="105">
        <f>IF(AND($B$15="Yes",$B$20="Yes"),Declaration!D50,0)</f>
        <v>0</v>
      </c>
      <c r="C35" s="105" t="str">
        <f t="shared" ca="1" si="3"/>
        <v>Complete</v>
      </c>
      <c r="D35" s="111" t="str">
        <f>IF(H35=1,"Click here to answer question 5 for Tantalum","")</f>
        <v/>
      </c>
      <c r="E35" s="87" t="s">
        <v>917</v>
      </c>
      <c r="F35" s="110">
        <f>F25</f>
        <v>0</v>
      </c>
      <c r="G35" s="84">
        <f t="shared" si="5"/>
        <v>1</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 xml:space="preserve">Tin  </v>
      </c>
      <c r="B36" s="105">
        <f>IF(AND($B$16="Yes",$B$21="Yes"),Declaration!D51,0)</f>
        <v>0</v>
      </c>
      <c r="C36" s="105" t="str">
        <f ca="1">IF(H36=1,J36,I36)</f>
        <v>Complete</v>
      </c>
      <c r="D36" s="111" t="str">
        <f>IF(H36=1,"Click here to answer question 5 for Tin","")</f>
        <v/>
      </c>
      <c r="E36" s="87" t="s">
        <v>917</v>
      </c>
      <c r="F36" s="110">
        <f>F26</f>
        <v>0</v>
      </c>
      <c r="G36" s="84">
        <f t="shared" si="5"/>
        <v>1</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 xml:space="preserve">Gold  </v>
      </c>
      <c r="B37" s="105">
        <f>IF(AND($B$17="Yes",$B$22="Yes"),Declaration!D52,0)</f>
        <v>0</v>
      </c>
      <c r="C37" s="105" t="str">
        <f t="shared" ca="1" si="3"/>
        <v>Complete</v>
      </c>
      <c r="D37" s="111" t="str">
        <f>IF(H37=1,"Click here to answer question 5 for Gold","")</f>
        <v/>
      </c>
      <c r="E37" s="87" t="s">
        <v>917</v>
      </c>
      <c r="F37" s="110">
        <f>F27</f>
        <v>0</v>
      </c>
      <c r="G37" s="84">
        <f t="shared" si="5"/>
        <v>1</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 xml:space="preserve">Tungsten  </v>
      </c>
      <c r="B38" s="105">
        <f>IF(AND($B$18="Yes",$B$23="Yes"),Declaration!D53,0)</f>
        <v>0</v>
      </c>
      <c r="C38" s="105" t="str">
        <f t="shared" ca="1" si="3"/>
        <v>Complete</v>
      </c>
      <c r="D38" s="111" t="str">
        <f>IF(H38=1,"Click here to answer question 5 for Tungsten","")</f>
        <v/>
      </c>
      <c r="E38" s="87" t="s">
        <v>917</v>
      </c>
      <c r="F38" s="110">
        <f>F28</f>
        <v>0</v>
      </c>
      <c r="G38" s="84">
        <f t="shared" si="5"/>
        <v>1</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 xml:space="preserve">6) Have you identified all of the smelters supplying the 3TG to your supply chain? </v>
      </c>
      <c r="B39" s="108"/>
      <c r="C39" s="108"/>
      <c r="D39" s="112"/>
      <c r="E39" s="87" t="s">
        <v>919</v>
      </c>
      <c r="F39" s="109"/>
      <c r="G39" s="24"/>
      <c r="H39" s="24"/>
    </row>
    <row r="40" spans="1:10" ht="51.75">
      <c r="A40" s="106" t="str">
        <f ca="1">Declaration!B56</f>
        <v xml:space="preserve">Tantalum  </v>
      </c>
      <c r="B40" s="105">
        <f>IF(AND($B$15="Yes",$B$20="Yes"),Declaration!D56,0)</f>
        <v>0</v>
      </c>
      <c r="C40" s="105" t="str">
        <f t="shared" ca="1" si="3"/>
        <v>Complete</v>
      </c>
      <c r="D40" s="113" t="str">
        <f>IF(H40=1,"Click here to answer question 6 for Tantalum","")</f>
        <v/>
      </c>
      <c r="E40" s="87" t="s">
        <v>1433</v>
      </c>
      <c r="F40" s="110">
        <f>F25</f>
        <v>0</v>
      </c>
      <c r="G40" s="84">
        <f t="shared" si="5"/>
        <v>1</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 xml:space="preserve">Tin  </v>
      </c>
      <c r="B41" s="105">
        <f>IF(AND($B$16="Yes",$B$21="Yes"),Declaration!D57,0)</f>
        <v>0</v>
      </c>
      <c r="C41" s="105" t="str">
        <f t="shared" ca="1" si="3"/>
        <v>Complete</v>
      </c>
      <c r="D41" s="113" t="str">
        <f>IF(H41=1,"Click here to answer question 6 for Tin","")</f>
        <v/>
      </c>
      <c r="E41" s="87" t="s">
        <v>1433</v>
      </c>
      <c r="F41" s="110">
        <f>F26</f>
        <v>0</v>
      </c>
      <c r="G41" s="84">
        <f t="shared" si="5"/>
        <v>1</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 xml:space="preserve">Gold  </v>
      </c>
      <c r="B42" s="105">
        <f>IF(AND($B$17="Yes",$B$22="Yes"),Declaration!D58,0)</f>
        <v>0</v>
      </c>
      <c r="C42" s="105" t="str">
        <f t="shared" ca="1" si="3"/>
        <v>Complete</v>
      </c>
      <c r="D42" s="113" t="str">
        <f>IF(H42=1,"Click here to answer question 6 for Gold","")</f>
        <v/>
      </c>
      <c r="E42" s="87" t="s">
        <v>1433</v>
      </c>
      <c r="F42" s="110">
        <f>F27</f>
        <v>0</v>
      </c>
      <c r="G42" s="84">
        <f t="shared" si="5"/>
        <v>1</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 xml:space="preserve">Tungsten  </v>
      </c>
      <c r="B43" s="105">
        <f>IF(AND($B$18="Yes",$B$23="Yes"),Declaration!D59,0)</f>
        <v>0</v>
      </c>
      <c r="C43" s="105" t="str">
        <f t="shared" ca="1" si="3"/>
        <v>Complete</v>
      </c>
      <c r="D43" s="113" t="str">
        <f>IF(H43=1,"Click here to answer question 6 for Tungsten","")</f>
        <v/>
      </c>
      <c r="E43" s="87" t="s">
        <v>1433</v>
      </c>
      <c r="F43" s="110">
        <f>F28</f>
        <v>0</v>
      </c>
      <c r="G43" s="84">
        <f t="shared" si="5"/>
        <v>1</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 xml:space="preserve">7) Has all applicable smelter information received by your company been reported in this declaration? </v>
      </c>
      <c r="B44" s="108"/>
      <c r="C44" s="108"/>
      <c r="D44" s="112"/>
      <c r="E44" s="87" t="s">
        <v>920</v>
      </c>
      <c r="F44" s="109"/>
      <c r="G44" s="24"/>
      <c r="H44" s="24"/>
    </row>
    <row r="45" spans="1:10" ht="39">
      <c r="A45" s="106" t="str">
        <f ca="1">Declaration!B62</f>
        <v xml:space="preserve">Tantalum  </v>
      </c>
      <c r="B45" s="105">
        <f>IF(AND($B$15="Yes",$B$20="Yes"),Declaration!D62,0)</f>
        <v>0</v>
      </c>
      <c r="C45" s="105" t="str">
        <f t="shared" ca="1" si="3"/>
        <v>Complete</v>
      </c>
      <c r="D45" s="114" t="str">
        <f>IF(H45=1,"Click here to answer question 7 for Tantalum","")</f>
        <v/>
      </c>
      <c r="E45" s="87" t="s">
        <v>918</v>
      </c>
      <c r="F45" s="110">
        <f>F25</f>
        <v>0</v>
      </c>
      <c r="G45" s="84">
        <f t="shared" si="5"/>
        <v>1</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 xml:space="preserve">Tin  </v>
      </c>
      <c r="B46" s="105">
        <f>IF(AND($B$16="Yes",$B$21="Yes"),Declaration!D63,0)</f>
        <v>0</v>
      </c>
      <c r="C46" s="105" t="str">
        <f t="shared" ca="1" si="3"/>
        <v>Complete</v>
      </c>
      <c r="D46" s="114" t="str">
        <f>IF(H46=1,"Click here to answer question 7 for Tin","")</f>
        <v/>
      </c>
      <c r="E46" s="87" t="s">
        <v>918</v>
      </c>
      <c r="F46" s="110">
        <f>F26</f>
        <v>0</v>
      </c>
      <c r="G46" s="84">
        <f t="shared" si="5"/>
        <v>1</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 xml:space="preserve">Gold  </v>
      </c>
      <c r="B47" s="105">
        <f>IF(AND($B$17="Yes",$B$22="Yes"),Declaration!D64,0)</f>
        <v>0</v>
      </c>
      <c r="C47" s="105" t="str">
        <f t="shared" ca="1" si="3"/>
        <v>Complete</v>
      </c>
      <c r="D47" s="114" t="str">
        <f>IF(H47=1,"Click here to answer question 7 for Gold","")</f>
        <v/>
      </c>
      <c r="E47" s="87" t="s">
        <v>918</v>
      </c>
      <c r="F47" s="110">
        <f>F27</f>
        <v>0</v>
      </c>
      <c r="G47" s="84">
        <f t="shared" si="5"/>
        <v>1</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 xml:space="preserve">Tungsten  </v>
      </c>
      <c r="B48" s="105">
        <f>IF(AND($B$18="Yes",$B$23="Yes"),Declaration!D65,0)</f>
        <v>0</v>
      </c>
      <c r="C48" s="105" t="str">
        <f t="shared" ca="1" si="3"/>
        <v>Complete</v>
      </c>
      <c r="D48" s="114" t="str">
        <f>IF(H48=1,"Click here to answer question 7 for Tungsten","")</f>
        <v/>
      </c>
      <c r="E48" s="87" t="s">
        <v>918</v>
      </c>
      <c r="F48" s="110">
        <f>F28</f>
        <v>0</v>
      </c>
      <c r="G48" s="84">
        <f t="shared" si="5"/>
        <v>1</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v>
      </c>
      <c r="B50" s="105" t="str">
        <f>Declaration!D69</f>
        <v>Yes</v>
      </c>
      <c r="C50" s="105" t="str">
        <f t="shared" ca="1" si="3"/>
        <v>Complete</v>
      </c>
      <c r="D50" s="111" t="str">
        <f>IF(H50=1,"Click here to answer question (A)","")</f>
        <v/>
      </c>
      <c r="E50" s="87" t="s">
        <v>1437</v>
      </c>
      <c r="F50" s="110">
        <f>IF(SUM(F$25:F$28)=0,0,1)</f>
        <v>0</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v>
      </c>
      <c r="B51" s="105" t="str">
        <f>Declaration!D71</f>
        <v>Yes</v>
      </c>
      <c r="C51" s="105" t="str">
        <f t="shared" ca="1" si="3"/>
        <v>Complete</v>
      </c>
      <c r="D51" s="111" t="str">
        <f>IF(H51=1,"Click here to answer question (B)","")</f>
        <v/>
      </c>
      <c r="E51" s="87" t="s">
        <v>1437</v>
      </c>
      <c r="F51" s="110">
        <f t="shared" ref="F51:F60" si="7">F$50</f>
        <v>0</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t="str">
        <f>Declaration!G71</f>
        <v>https:/www.azz.com/corporate-social-compliance</v>
      </c>
      <c r="C52" s="105" t="str">
        <f ca="1">IF(H52=1,J52,I52)</f>
        <v>Complete</v>
      </c>
      <c r="D52" s="111" t="str">
        <f>IF(H52=1,"Click here to specify URL for question (B)","")</f>
        <v/>
      </c>
      <c r="E52" s="87"/>
      <c r="F52" s="110">
        <f>IF(AND(F51=1,B51="Yes"),1,0)</f>
        <v>0</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v>
      </c>
      <c r="B53" s="105" t="str">
        <f>Declaration!D73</f>
        <v>Yes</v>
      </c>
      <c r="C53" s="105" t="str">
        <f t="shared" ca="1" si="3"/>
        <v>Complete</v>
      </c>
      <c r="D53" s="111" t="str">
        <f>IF(H53=1,"Click here to answer question (C)","")</f>
        <v/>
      </c>
      <c r="E53" s="87" t="s">
        <v>1437</v>
      </c>
      <c r="F53" s="110">
        <f t="shared" si="7"/>
        <v>0</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v>
      </c>
      <c r="B54" s="105" t="str">
        <f>Declaration!D75</f>
        <v>Yes</v>
      </c>
      <c r="C54" s="105" t="str">
        <f ca="1">IF(H54=1,J54,I54)</f>
        <v>Complete</v>
      </c>
      <c r="D54" s="111" t="str">
        <f>IF(H54=1,"Click here to answer question (D)","")</f>
        <v/>
      </c>
      <c r="E54" s="87" t="s">
        <v>1437</v>
      </c>
      <c r="F54" s="110">
        <f t="shared" si="7"/>
        <v>0</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v>
      </c>
      <c r="B55" s="105" t="str">
        <f>Declaration!D77</f>
        <v>Yes</v>
      </c>
      <c r="C55" s="105" t="str">
        <f t="shared" ca="1" si="3"/>
        <v>Complete</v>
      </c>
      <c r="D55" s="111" t="str">
        <f>IF(H55=1,"Click here to answer question (E)","")</f>
        <v/>
      </c>
      <c r="E55" s="87" t="s">
        <v>1437</v>
      </c>
      <c r="F55" s="110">
        <f t="shared" si="7"/>
        <v>0</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v>
      </c>
      <c r="B56" s="105" t="str">
        <f>Declaration!D79</f>
        <v>Yes, in conformance with IPC1755 (e.g., CMRT)</v>
      </c>
      <c r="C56" s="105" t="str">
        <f t="shared" ca="1" si="3"/>
        <v>Complete</v>
      </c>
      <c r="D56" s="111" t="str">
        <f>IF(H56=1,"Click here to answer question (F)","")</f>
        <v/>
      </c>
      <c r="E56" s="87" t="s">
        <v>1437</v>
      </c>
      <c r="F56" s="110">
        <f t="shared" si="7"/>
        <v>0</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v>
      </c>
      <c r="B58" s="105" t="str">
        <f>Declaration!D81</f>
        <v>Yes</v>
      </c>
      <c r="C58" s="105" t="str">
        <f t="shared" ca="1" si="3"/>
        <v>Complete</v>
      </c>
      <c r="D58" s="111" t="str">
        <f>IF(H58=1,"Click here to answer question (G)","")</f>
        <v/>
      </c>
      <c r="E58" s="87" t="s">
        <v>1437</v>
      </c>
      <c r="F58" s="110">
        <f t="shared" si="7"/>
        <v>0</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v>
      </c>
      <c r="B59" s="105" t="str">
        <f>Declaration!D83</f>
        <v>Yes</v>
      </c>
      <c r="C59" s="105" t="str">
        <f t="shared" ca="1" si="3"/>
        <v>Complete</v>
      </c>
      <c r="D59" s="111" t="str">
        <f>IF(H59=1,"Click here to answer question (H)","")</f>
        <v/>
      </c>
      <c r="E59" s="87" t="s">
        <v>1437</v>
      </c>
      <c r="F59" s="110">
        <f t="shared" si="7"/>
        <v>0</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v>
      </c>
      <c r="B60" s="105" t="str">
        <f>Declaration!D85</f>
        <v>Yes</v>
      </c>
      <c r="C60" s="105" t="str">
        <f t="shared" ca="1" si="3"/>
        <v>Complete</v>
      </c>
      <c r="D60" s="111" t="str">
        <f>IF(H60=1,"Click here to answer question (I)","")</f>
        <v/>
      </c>
      <c r="E60" s="87" t="s">
        <v>1437</v>
      </c>
      <c r="F60" s="110">
        <f t="shared" si="7"/>
        <v>0</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IF(K62=1,L62,IF(B15="No","Not Required",IF(G62=0,I62,J62)))</f>
        <v>Not Required</v>
      </c>
      <c r="D62" s="111" t="str">
        <f>IF(H62=0,"","Click here to provide smelter information")</f>
        <v/>
      </c>
      <c r="E62" s="87" t="s">
        <v>1437</v>
      </c>
      <c r="F62" s="110">
        <f>F25</f>
        <v>0</v>
      </c>
      <c r="G62" s="84">
        <f>IF(AND(COUNTIF(SmelterIdetifiedForMetal,"Tantalum")&gt;0,COUNTIF('Smelter List'!AB$5:AB$2493,"Tantalum?*")&gt;0),0,1)</f>
        <v>1</v>
      </c>
      <c r="H62" s="85">
        <f t="shared"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IF(K63=1,L63,IF(B16="No","Not Required",IF(G63=0,I63,J63)))</f>
        <v>Not Required</v>
      </c>
      <c r="D63" s="111" t="str">
        <f>IF(H63=0,"","Click here to provide smelter information")</f>
        <v/>
      </c>
      <c r="E63" s="87" t="s">
        <v>918</v>
      </c>
      <c r="F63" s="110">
        <f>F26</f>
        <v>0</v>
      </c>
      <c r="G63" s="84">
        <f>IF(AND(COUNTIF(SmelterIdetifiedForMetal,"Tin")&gt;0,COUNTIF('Smelter List'!AB$5:AB$2493,"Tin?*")&gt;0),0,1)</f>
        <v>1</v>
      </c>
      <c r="H63" s="85">
        <f t="shared"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IF(K64=1,L64,IF(B17="No","Not Required",IF(G64=0,I64,J64)))</f>
        <v>Not Required</v>
      </c>
      <c r="D64" s="111" t="str">
        <f>IF(H64=0,"","Click here to provide smelter information")</f>
        <v/>
      </c>
      <c r="E64" s="87" t="s">
        <v>918</v>
      </c>
      <c r="F64" s="110">
        <f>F27</f>
        <v>0</v>
      </c>
      <c r="G64" s="84">
        <f>IF(AND(COUNTIF(SmelterIdetifiedForMetal,"Gold")&gt;0,COUNTIF('Smelter List'!AB$5:AB$2493,"Gold?*")&gt;0),0,1)</f>
        <v>1</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IF(K65=1,L65,IF(B18="No","Not Required",IF(G65=0,I65,J65)))</f>
        <v>Not Required</v>
      </c>
      <c r="D65" s="111" t="str">
        <f>IF(H65=0,"","Click here to provide smelter information")</f>
        <v/>
      </c>
      <c r="E65" s="87" t="s">
        <v>918</v>
      </c>
      <c r="F65" s="110">
        <f>F28</f>
        <v>0</v>
      </c>
      <c r="G65" s="84">
        <f>IF(AND(COUNTIF(SmelterIdetifiedForMetal,"Tungsten")&gt;0,COUNTIF('Smelter List'!AB$5:AB$2493,"Tungsten?*")&gt;0),0,1)</f>
        <v>1</v>
      </c>
      <c r="H65" s="85">
        <f t="shared"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IF(F66=0,J66,IF(G66=0,I66,L66))</f>
        <v>N/A</v>
      </c>
      <c r="D66" s="111"/>
      <c r="E66" s="87"/>
      <c r="F66" s="110">
        <f>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2" t="str">
        <f ca="1">OFFSET(L!$C$1,MATCH("Product List"&amp;ADDRESS(ROW(),COLUMN(),4),L!$A:$A,0)-1,SL,,)</f>
        <v>Completion required only if reporting level "Product (or List of Products)" selected on the 'Declaration' worksheet.</v>
      </c>
      <c r="B1" s="443"/>
      <c r="C1" s="443"/>
      <c r="D1" s="443"/>
      <c r="E1" s="149"/>
    </row>
    <row r="2" spans="1:6">
      <c r="A2" s="29"/>
      <c r="B2" s="151"/>
      <c r="C2" s="151"/>
      <c r="D2"/>
      <c r="E2" s="30"/>
    </row>
    <row r="3" spans="1:6">
      <c r="A3" s="29"/>
      <c r="B3" s="151"/>
      <c r="C3" s="151"/>
      <c r="D3" s="151"/>
      <c r="E3" s="30"/>
    </row>
    <row r="4" spans="1:6" ht="15.75" customHeight="1">
      <c r="A4" s="29"/>
      <c r="B4" s="441" t="s">
        <v>1014</v>
      </c>
      <c r="C4" s="441"/>
      <c r="D4" s="441"/>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4" t="str">
        <f ca="1">OFFSET(L!$C$1,MATCH("General"&amp;"Cpy",L!$A:$A,0)-1,SL,,)</f>
        <v>© 2019 Responsible Minerals Initiative. All rights reserved.</v>
      </c>
      <c r="C1001" s="444"/>
      <c r="D1001" s="444"/>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5"/>
      <c r="C1" s="445"/>
      <c r="D1" s="445"/>
      <c r="E1" s="445"/>
      <c r="F1" s="445"/>
      <c r="G1" s="445"/>
    </row>
    <row r="2" spans="1:16">
      <c r="A2" s="446"/>
      <c r="B2" s="446"/>
      <c r="C2" s="446"/>
      <c r="D2" s="446"/>
      <c r="E2" s="446"/>
      <c r="F2" s="446"/>
      <c r="G2" s="446"/>
      <c r="H2" s="446"/>
      <c r="I2" s="446"/>
    </row>
    <row r="3" spans="1:16">
      <c r="A3" s="446"/>
      <c r="B3" s="446"/>
      <c r="C3" s="446"/>
      <c r="D3" s="446"/>
      <c r="E3" s="446"/>
      <c r="F3" s="446"/>
      <c r="G3" s="446"/>
      <c r="H3" s="446"/>
      <c r="I3" s="446"/>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sortState ref="A2:B250">
      <sortCondition ref="B1"/>
    </sortState>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Bradshaw Hawkins</cp:lastModifiedBy>
  <cp:lastPrinted>2019-05-30T21:11:10Z</cp:lastPrinted>
  <dcterms:created xsi:type="dcterms:W3CDTF">2010-06-21T21:00:23Z</dcterms:created>
  <dcterms:modified xsi:type="dcterms:W3CDTF">2020-06-08T18:29:49Z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